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9035" windowHeight="11505" tabRatio="787" activeTab="3"/>
  </bookViews>
  <sheets>
    <sheet name="RLSS LPHS" sheetId="1" r:id="rId1"/>
    <sheet name="TB STATE (CONTROL) " sheetId="3" r:id="rId2"/>
    <sheet name="TB FEDERAL (ELIMINATION)" sheetId="4" r:id="rId3"/>
    <sheet name="IMMUNIZATION" sheetId="5" r:id="rId4"/>
    <sheet name="PHEP" sheetId="6" r:id="rId5"/>
    <sheet name="FY 14 No Of Work Hours" sheetId="2" r:id="rId6"/>
    <sheet name="Sheet1" sheetId="7" r:id="rId7"/>
  </sheets>
  <definedNames>
    <definedName name="_xlnm.Print_Area" localSheetId="3">IMMUNIZATION!$A$1:$V$123</definedName>
    <definedName name="_xlnm.Print_Area" localSheetId="1">'TB STATE (CONTROL) '!$A$1:$AE$63</definedName>
  </definedNames>
  <calcPr calcId="144525"/>
</workbook>
</file>

<file path=xl/calcChain.xml><?xml version="1.0" encoding="utf-8"?>
<calcChain xmlns="http://schemas.openxmlformats.org/spreadsheetml/2006/main">
  <c r="V38" i="6" l="1"/>
  <c r="U38" i="6"/>
  <c r="P38" i="6"/>
  <c r="O38" i="6"/>
  <c r="T38" i="6" s="1"/>
  <c r="V37" i="6"/>
  <c r="U37" i="6"/>
  <c r="P37" i="6"/>
  <c r="O37" i="6"/>
  <c r="T37" i="6" s="1"/>
  <c r="V36" i="6"/>
  <c r="U36" i="6"/>
  <c r="P36" i="6"/>
  <c r="O36" i="6"/>
  <c r="T36" i="6" s="1"/>
  <c r="V35" i="6"/>
  <c r="U35" i="6"/>
  <c r="P35" i="6"/>
  <c r="O35" i="6"/>
  <c r="T35" i="6" s="1"/>
  <c r="V34" i="6"/>
  <c r="V39" i="6" s="1"/>
  <c r="U34" i="6"/>
  <c r="U39" i="6" s="1"/>
  <c r="P34" i="6"/>
  <c r="O34" i="6"/>
  <c r="T34" i="6" s="1"/>
  <c r="T39" i="6" s="1"/>
  <c r="G19" i="6"/>
  <c r="F19" i="6"/>
  <c r="V18" i="6"/>
  <c r="U18" i="6"/>
  <c r="I18" i="6"/>
  <c r="M18" i="6" s="1"/>
  <c r="H18" i="6"/>
  <c r="J18" i="6" s="1"/>
  <c r="N18" i="6" s="1"/>
  <c r="V17" i="6"/>
  <c r="U17" i="6"/>
  <c r="I17" i="6"/>
  <c r="M17" i="6" s="1"/>
  <c r="H17" i="6"/>
  <c r="J17" i="6" s="1"/>
  <c r="N17" i="6" s="1"/>
  <c r="V16" i="6"/>
  <c r="U16" i="6"/>
  <c r="I16" i="6"/>
  <c r="M16" i="6" s="1"/>
  <c r="H16" i="6"/>
  <c r="J16" i="6" s="1"/>
  <c r="N16" i="6" s="1"/>
  <c r="V15" i="6"/>
  <c r="U15" i="6"/>
  <c r="I15" i="6"/>
  <c r="M15" i="6" s="1"/>
  <c r="H15" i="6"/>
  <c r="J15" i="6" s="1"/>
  <c r="N15" i="6" s="1"/>
  <c r="V14" i="6"/>
  <c r="U14" i="6"/>
  <c r="I14" i="6"/>
  <c r="M14" i="6" s="1"/>
  <c r="H14" i="6"/>
  <c r="J14" i="6" s="1"/>
  <c r="N14" i="6" s="1"/>
  <c r="V13" i="6"/>
  <c r="U13" i="6"/>
  <c r="I13" i="6"/>
  <c r="M13" i="6" s="1"/>
  <c r="H13" i="6"/>
  <c r="J13" i="6" s="1"/>
  <c r="N13" i="6" s="1"/>
  <c r="V12" i="6"/>
  <c r="U12" i="6"/>
  <c r="I12" i="6"/>
  <c r="M12" i="6" s="1"/>
  <c r="H12" i="6"/>
  <c r="J12" i="6" s="1"/>
  <c r="N12" i="6" s="1"/>
  <c r="V11" i="6"/>
  <c r="U11" i="6"/>
  <c r="I11" i="6"/>
  <c r="M11" i="6" s="1"/>
  <c r="H11" i="6"/>
  <c r="J11" i="6" s="1"/>
  <c r="N11" i="6" s="1"/>
  <c r="V10" i="6"/>
  <c r="U10" i="6"/>
  <c r="I10" i="6"/>
  <c r="M10" i="6" s="1"/>
  <c r="H10" i="6"/>
  <c r="J10" i="6" s="1"/>
  <c r="N10" i="6" s="1"/>
  <c r="V9" i="6"/>
  <c r="U9" i="6"/>
  <c r="U19" i="6" s="1"/>
  <c r="I9" i="6"/>
  <c r="M9" i="6" s="1"/>
  <c r="H9" i="6"/>
  <c r="H19" i="6" s="1"/>
  <c r="V19" i="6" l="1"/>
  <c r="O10" i="6"/>
  <c r="O11" i="6"/>
  <c r="P11" i="6" s="1"/>
  <c r="O12" i="6"/>
  <c r="R12" i="6" s="1"/>
  <c r="O13" i="6"/>
  <c r="O14" i="6"/>
  <c r="O15" i="6"/>
  <c r="O16" i="6"/>
  <c r="T16" i="6" s="1"/>
  <c r="O17" i="6"/>
  <c r="O18" i="6"/>
  <c r="T11" i="6"/>
  <c r="R11" i="6"/>
  <c r="Q11" i="6"/>
  <c r="T13" i="6"/>
  <c r="R13" i="6"/>
  <c r="P13" i="6"/>
  <c r="S13" i="6"/>
  <c r="Q13" i="6"/>
  <c r="W13" i="6" s="1"/>
  <c r="X13" i="6" s="1"/>
  <c r="S14" i="6"/>
  <c r="Q14" i="6"/>
  <c r="T14" i="6"/>
  <c r="R14" i="6"/>
  <c r="P14" i="6"/>
  <c r="T15" i="6"/>
  <c r="R15" i="6"/>
  <c r="P15" i="6"/>
  <c r="S15" i="6"/>
  <c r="Q15" i="6"/>
  <c r="Q16" i="6"/>
  <c r="P16" i="6"/>
  <c r="S18" i="6"/>
  <c r="Q18" i="6"/>
  <c r="T18" i="6"/>
  <c r="R18" i="6"/>
  <c r="P18" i="6"/>
  <c r="S10" i="6"/>
  <c r="Q10" i="6"/>
  <c r="T10" i="6"/>
  <c r="R10" i="6"/>
  <c r="P10" i="6"/>
  <c r="S12" i="6"/>
  <c r="Q12" i="6"/>
  <c r="T12" i="6"/>
  <c r="P12" i="6"/>
  <c r="T17" i="6"/>
  <c r="R17" i="6"/>
  <c r="P17" i="6"/>
  <c r="S17" i="6"/>
  <c r="Q17" i="6"/>
  <c r="Q34" i="6"/>
  <c r="S34" i="6"/>
  <c r="Q35" i="6"/>
  <c r="S35" i="6"/>
  <c r="Q36" i="6"/>
  <c r="S36" i="6"/>
  <c r="Q37" i="6"/>
  <c r="S37" i="6"/>
  <c r="Q38" i="6"/>
  <c r="S38" i="6"/>
  <c r="O39" i="6"/>
  <c r="O42" i="6" s="1"/>
  <c r="J9" i="6"/>
  <c r="N9" i="6" s="1"/>
  <c r="O9" i="6" s="1"/>
  <c r="R34" i="6"/>
  <c r="R35" i="6"/>
  <c r="R36" i="6"/>
  <c r="R37" i="6"/>
  <c r="R38" i="6"/>
  <c r="W17" i="6" l="1"/>
  <c r="X17" i="6" s="1"/>
  <c r="S16" i="6"/>
  <c r="W16" i="6" s="1"/>
  <c r="X16" i="6" s="1"/>
  <c r="W10" i="6"/>
  <c r="X10" i="6" s="1"/>
  <c r="R16" i="6"/>
  <c r="W15" i="6"/>
  <c r="X15" i="6" s="1"/>
  <c r="W14" i="6"/>
  <c r="X14" i="6" s="1"/>
  <c r="S11" i="6"/>
  <c r="W11" i="6" s="1"/>
  <c r="X11" i="6" s="1"/>
  <c r="T9" i="6"/>
  <c r="T19" i="6" s="1"/>
  <c r="R9" i="6"/>
  <c r="R19" i="6" s="1"/>
  <c r="P9" i="6"/>
  <c r="P19" i="6" s="1"/>
  <c r="O19" i="6"/>
  <c r="S9" i="6"/>
  <c r="Q9" i="6"/>
  <c r="W12" i="6"/>
  <c r="X12" i="6" s="1"/>
  <c r="R39" i="6"/>
  <c r="W38" i="6"/>
  <c r="X38" i="6" s="1"/>
  <c r="W37" i="6"/>
  <c r="X37" i="6" s="1"/>
  <c r="W36" i="6"/>
  <c r="X36" i="6" s="1"/>
  <c r="W35" i="6"/>
  <c r="X35" i="6" s="1"/>
  <c r="Q39" i="6"/>
  <c r="W34" i="6"/>
  <c r="S39" i="6"/>
  <c r="W18" i="6"/>
  <c r="X18" i="6" s="1"/>
  <c r="S19" i="6" l="1"/>
  <c r="W39" i="6"/>
  <c r="X34" i="6"/>
  <c r="Q19" i="6"/>
  <c r="W9" i="6"/>
  <c r="W42" i="6" l="1"/>
  <c r="X42" i="6" s="1"/>
  <c r="X39" i="6"/>
  <c r="W19" i="6"/>
  <c r="X9" i="6"/>
  <c r="X19" i="6" s="1"/>
  <c r="S114" i="5" l="1"/>
  <c r="S72" i="5"/>
  <c r="S71" i="5"/>
  <c r="S70" i="5"/>
  <c r="S69" i="5"/>
  <c r="S68" i="5"/>
  <c r="S67" i="5"/>
  <c r="S60" i="5"/>
  <c r="S59" i="5"/>
  <c r="S58" i="5"/>
  <c r="S57" i="5"/>
  <c r="S116" i="5" s="1"/>
  <c r="S56" i="5"/>
  <c r="S115" i="5" s="1"/>
  <c r="S49" i="5"/>
  <c r="S48" i="5"/>
  <c r="S118" i="5" s="1"/>
  <c r="S47" i="5"/>
  <c r="V24" i="5"/>
  <c r="U24" i="5"/>
  <c r="H24" i="5"/>
  <c r="L24" i="5" s="1"/>
  <c r="G24" i="5"/>
  <c r="I24" i="5" s="1"/>
  <c r="M24" i="5" s="1"/>
  <c r="V23" i="5"/>
  <c r="U23" i="5"/>
  <c r="H23" i="5"/>
  <c r="L23" i="5" s="1"/>
  <c r="G23" i="5"/>
  <c r="I23" i="5" s="1"/>
  <c r="M23" i="5" s="1"/>
  <c r="V22" i="5"/>
  <c r="U22" i="5"/>
  <c r="H22" i="5"/>
  <c r="L22" i="5" s="1"/>
  <c r="G22" i="5"/>
  <c r="I22" i="5" s="1"/>
  <c r="M22" i="5" s="1"/>
  <c r="V21" i="5"/>
  <c r="U21" i="5"/>
  <c r="H21" i="5"/>
  <c r="L21" i="5" s="1"/>
  <c r="G21" i="5"/>
  <c r="I21" i="5" s="1"/>
  <c r="M21" i="5" s="1"/>
  <c r="V20" i="5"/>
  <c r="U20" i="5"/>
  <c r="H20" i="5"/>
  <c r="L20" i="5" s="1"/>
  <c r="G20" i="5"/>
  <c r="I20" i="5" s="1"/>
  <c r="M20" i="5" s="1"/>
  <c r="V19" i="5"/>
  <c r="U19" i="5"/>
  <c r="H19" i="5"/>
  <c r="L19" i="5" s="1"/>
  <c r="G19" i="5"/>
  <c r="I19" i="5" s="1"/>
  <c r="M19" i="5" s="1"/>
  <c r="V18" i="5"/>
  <c r="U18" i="5"/>
  <c r="H18" i="5"/>
  <c r="L18" i="5" s="1"/>
  <c r="G18" i="5"/>
  <c r="I18" i="5" s="1"/>
  <c r="M18" i="5" s="1"/>
  <c r="V17" i="5"/>
  <c r="U17" i="5"/>
  <c r="H17" i="5"/>
  <c r="L17" i="5" s="1"/>
  <c r="G17" i="5"/>
  <c r="I17" i="5" s="1"/>
  <c r="M17" i="5" s="1"/>
  <c r="V16" i="5"/>
  <c r="U16" i="5"/>
  <c r="H16" i="5"/>
  <c r="L16" i="5" s="1"/>
  <c r="G16" i="5"/>
  <c r="I16" i="5" s="1"/>
  <c r="M16" i="5" s="1"/>
  <c r="V15" i="5"/>
  <c r="U15" i="5"/>
  <c r="H15" i="5"/>
  <c r="L15" i="5" s="1"/>
  <c r="G15" i="5"/>
  <c r="I15" i="5" s="1"/>
  <c r="M15" i="5" s="1"/>
  <c r="V14" i="5"/>
  <c r="U14" i="5"/>
  <c r="H14" i="5"/>
  <c r="L14" i="5" s="1"/>
  <c r="G14" i="5"/>
  <c r="I14" i="5" s="1"/>
  <c r="M14" i="5" s="1"/>
  <c r="V13" i="5"/>
  <c r="U13" i="5"/>
  <c r="H13" i="5"/>
  <c r="L13" i="5" s="1"/>
  <c r="G13" i="5"/>
  <c r="I13" i="5" s="1"/>
  <c r="M13" i="5" s="1"/>
  <c r="V12" i="5"/>
  <c r="U12" i="5"/>
  <c r="H12" i="5"/>
  <c r="L12" i="5" s="1"/>
  <c r="G12" i="5"/>
  <c r="I12" i="5" s="1"/>
  <c r="M12" i="5" s="1"/>
  <c r="V11" i="5"/>
  <c r="U11" i="5"/>
  <c r="H11" i="5"/>
  <c r="L11" i="5" s="1"/>
  <c r="G11" i="5"/>
  <c r="I11" i="5" s="1"/>
  <c r="M11" i="5" s="1"/>
  <c r="V10" i="5"/>
  <c r="U10" i="5"/>
  <c r="H10" i="5"/>
  <c r="L10" i="5" s="1"/>
  <c r="G10" i="5"/>
  <c r="I10" i="5" s="1"/>
  <c r="M10" i="5" s="1"/>
  <c r="V9" i="5"/>
  <c r="V25" i="5" s="1"/>
  <c r="S27" i="5" s="1"/>
  <c r="S91" i="5" s="1"/>
  <c r="U9" i="5"/>
  <c r="U25" i="5" s="1"/>
  <c r="S26" i="5" s="1"/>
  <c r="S90" i="5" s="1"/>
  <c r="H9" i="5"/>
  <c r="L9" i="5" s="1"/>
  <c r="G9" i="5"/>
  <c r="I9" i="5" s="1"/>
  <c r="M9" i="5" s="1"/>
  <c r="S117" i="5" l="1"/>
  <c r="S73" i="5"/>
  <c r="S119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S24" i="5" s="1"/>
  <c r="S108" i="5" s="1"/>
  <c r="S51" i="5"/>
  <c r="S62" i="5"/>
  <c r="J43" i="4"/>
  <c r="H43" i="4"/>
  <c r="G43" i="4"/>
  <c r="F43" i="4"/>
  <c r="L42" i="4"/>
  <c r="P42" i="4" s="1"/>
  <c r="K42" i="4"/>
  <c r="M42" i="4" s="1"/>
  <c r="Q42" i="4" s="1"/>
  <c r="I42" i="4"/>
  <c r="AC42" i="4" s="1"/>
  <c r="L41" i="4"/>
  <c r="P41" i="4" s="1"/>
  <c r="K41" i="4"/>
  <c r="M41" i="4" s="1"/>
  <c r="Q41" i="4" s="1"/>
  <c r="I41" i="4"/>
  <c r="AC41" i="4" s="1"/>
  <c r="L40" i="4"/>
  <c r="P40" i="4" s="1"/>
  <c r="K40" i="4"/>
  <c r="M40" i="4" s="1"/>
  <c r="Q40" i="4" s="1"/>
  <c r="I40" i="4"/>
  <c r="AC40" i="4" s="1"/>
  <c r="L39" i="4"/>
  <c r="P39" i="4" s="1"/>
  <c r="K39" i="4"/>
  <c r="M39" i="4" s="1"/>
  <c r="Q39" i="4" s="1"/>
  <c r="I39" i="4"/>
  <c r="AC39" i="4" s="1"/>
  <c r="L38" i="4"/>
  <c r="P38" i="4" s="1"/>
  <c r="K38" i="4"/>
  <c r="M38" i="4" s="1"/>
  <c r="Q38" i="4" s="1"/>
  <c r="I38" i="4"/>
  <c r="AC38" i="4" s="1"/>
  <c r="L37" i="4"/>
  <c r="P37" i="4" s="1"/>
  <c r="K37" i="4"/>
  <c r="M37" i="4" s="1"/>
  <c r="Q37" i="4" s="1"/>
  <c r="I37" i="4"/>
  <c r="AC37" i="4" s="1"/>
  <c r="L36" i="4"/>
  <c r="P36" i="4" s="1"/>
  <c r="K36" i="4"/>
  <c r="M36" i="4" s="1"/>
  <c r="Q36" i="4" s="1"/>
  <c r="I36" i="4"/>
  <c r="L35" i="4"/>
  <c r="P35" i="4" s="1"/>
  <c r="P43" i="4" s="1"/>
  <c r="K35" i="4"/>
  <c r="I35" i="4"/>
  <c r="AB35" i="4" s="1"/>
  <c r="J17" i="4"/>
  <c r="H17" i="4"/>
  <c r="G17" i="4"/>
  <c r="F17" i="4"/>
  <c r="AC16" i="4"/>
  <c r="AB16" i="4"/>
  <c r="L16" i="4"/>
  <c r="P16" i="4" s="1"/>
  <c r="K16" i="4"/>
  <c r="M16" i="4" s="1"/>
  <c r="Q16" i="4" s="1"/>
  <c r="I16" i="4"/>
  <c r="R16" i="4" s="1"/>
  <c r="AC15" i="4"/>
  <c r="AB15" i="4"/>
  <c r="L15" i="4"/>
  <c r="P15" i="4" s="1"/>
  <c r="K15" i="4"/>
  <c r="M15" i="4" s="1"/>
  <c r="Q15" i="4" s="1"/>
  <c r="I15" i="4"/>
  <c r="R15" i="4" s="1"/>
  <c r="AC14" i="4"/>
  <c r="AB14" i="4"/>
  <c r="L14" i="4"/>
  <c r="P14" i="4" s="1"/>
  <c r="K14" i="4"/>
  <c r="M14" i="4" s="1"/>
  <c r="Q14" i="4" s="1"/>
  <c r="I14" i="4"/>
  <c r="R14" i="4" s="1"/>
  <c r="AC13" i="4"/>
  <c r="AB13" i="4"/>
  <c r="L13" i="4"/>
  <c r="P13" i="4" s="1"/>
  <c r="K13" i="4"/>
  <c r="M13" i="4" s="1"/>
  <c r="Q13" i="4" s="1"/>
  <c r="I13" i="4"/>
  <c r="R13" i="4" s="1"/>
  <c r="AC12" i="4"/>
  <c r="AB12" i="4"/>
  <c r="L12" i="4"/>
  <c r="P12" i="4" s="1"/>
  <c r="K12" i="4"/>
  <c r="M12" i="4" s="1"/>
  <c r="Q12" i="4" s="1"/>
  <c r="I12" i="4"/>
  <c r="R12" i="4" s="1"/>
  <c r="AC11" i="4"/>
  <c r="AB11" i="4"/>
  <c r="L11" i="4"/>
  <c r="P11" i="4" s="1"/>
  <c r="K11" i="4"/>
  <c r="M11" i="4" s="1"/>
  <c r="Q11" i="4" s="1"/>
  <c r="I11" i="4"/>
  <c r="R11" i="4" s="1"/>
  <c r="AC10" i="4"/>
  <c r="AB10" i="4"/>
  <c r="L10" i="4"/>
  <c r="P10" i="4" s="1"/>
  <c r="K10" i="4"/>
  <c r="M10" i="4" s="1"/>
  <c r="Q10" i="4" s="1"/>
  <c r="I10" i="4"/>
  <c r="R10" i="4" s="1"/>
  <c r="AC9" i="4"/>
  <c r="AC17" i="4" s="1"/>
  <c r="AB9" i="4"/>
  <c r="L9" i="4"/>
  <c r="P9" i="4" s="1"/>
  <c r="K9" i="4"/>
  <c r="I9" i="4"/>
  <c r="I17" i="4" s="1"/>
  <c r="T12" i="4" l="1"/>
  <c r="T16" i="4"/>
  <c r="V16" i="4" s="1"/>
  <c r="K43" i="4"/>
  <c r="T38" i="4"/>
  <c r="T42" i="4"/>
  <c r="K17" i="4"/>
  <c r="AB17" i="4"/>
  <c r="T10" i="4"/>
  <c r="T14" i="4"/>
  <c r="T36" i="4"/>
  <c r="T40" i="4"/>
  <c r="S121" i="5"/>
  <c r="S123" i="5" s="1"/>
  <c r="S23" i="5"/>
  <c r="S109" i="5" s="1"/>
  <c r="O23" i="5"/>
  <c r="Q23" i="5"/>
  <c r="S19" i="5"/>
  <c r="O19" i="5"/>
  <c r="Q19" i="5"/>
  <c r="S76" i="5"/>
  <c r="Q22" i="5"/>
  <c r="S22" i="5"/>
  <c r="O22" i="5"/>
  <c r="Q20" i="5"/>
  <c r="S20" i="5"/>
  <c r="O20" i="5"/>
  <c r="Q18" i="5"/>
  <c r="S18" i="5"/>
  <c r="O18" i="5"/>
  <c r="Q16" i="5"/>
  <c r="S16" i="5"/>
  <c r="O16" i="5"/>
  <c r="Q14" i="5"/>
  <c r="S14" i="5"/>
  <c r="O14" i="5"/>
  <c r="Q12" i="5"/>
  <c r="S12" i="5"/>
  <c r="O12" i="5"/>
  <c r="Q10" i="5"/>
  <c r="S10" i="5"/>
  <c r="O10" i="5"/>
  <c r="S21" i="5"/>
  <c r="O21" i="5"/>
  <c r="Q21" i="5"/>
  <c r="S17" i="5"/>
  <c r="O17" i="5"/>
  <c r="Q17" i="5"/>
  <c r="S15" i="5"/>
  <c r="O15" i="5"/>
  <c r="Q15" i="5"/>
  <c r="S13" i="5"/>
  <c r="O13" i="5"/>
  <c r="Q13" i="5"/>
  <c r="S11" i="5"/>
  <c r="O11" i="5"/>
  <c r="Q11" i="5"/>
  <c r="S9" i="5"/>
  <c r="O9" i="5"/>
  <c r="Q9" i="5"/>
  <c r="V10" i="4"/>
  <c r="W10" i="4" s="1"/>
  <c r="P17" i="4"/>
  <c r="T11" i="4"/>
  <c r="V11" i="4" s="1"/>
  <c r="W11" i="4" s="1"/>
  <c r="T13" i="4"/>
  <c r="V15" i="4"/>
  <c r="W15" i="4" s="1"/>
  <c r="T15" i="4"/>
  <c r="AA10" i="4"/>
  <c r="Y10" i="4"/>
  <c r="Z10" i="4"/>
  <c r="X10" i="4"/>
  <c r="S12" i="4"/>
  <c r="V12" i="4"/>
  <c r="W12" i="4" s="1"/>
  <c r="AA12" i="4"/>
  <c r="Y12" i="4"/>
  <c r="U12" i="4"/>
  <c r="Z12" i="4"/>
  <c r="X12" i="4"/>
  <c r="V14" i="4"/>
  <c r="W14" i="4" s="1"/>
  <c r="AA14" i="4"/>
  <c r="Y14" i="4"/>
  <c r="Z14" i="4"/>
  <c r="X14" i="4"/>
  <c r="AA16" i="4"/>
  <c r="Y16" i="4"/>
  <c r="X16" i="4"/>
  <c r="R9" i="4"/>
  <c r="I43" i="4"/>
  <c r="AC35" i="4"/>
  <c r="R35" i="4"/>
  <c r="T37" i="4"/>
  <c r="T39" i="4"/>
  <c r="T41" i="4"/>
  <c r="M9" i="4"/>
  <c r="Q9" i="4" s="1"/>
  <c r="Q17" i="4" s="1"/>
  <c r="AC36" i="4"/>
  <c r="AB36" i="4"/>
  <c r="AB43" i="4" s="1"/>
  <c r="R36" i="4"/>
  <c r="R37" i="4"/>
  <c r="AB37" i="4"/>
  <c r="R38" i="4"/>
  <c r="AB38" i="4"/>
  <c r="R39" i="4"/>
  <c r="AB39" i="4"/>
  <c r="R40" i="4"/>
  <c r="AB40" i="4"/>
  <c r="R41" i="4"/>
  <c r="AB41" i="4"/>
  <c r="R42" i="4"/>
  <c r="AB42" i="4"/>
  <c r="M35" i="4"/>
  <c r="Q35" i="4" s="1"/>
  <c r="Q43" i="4" s="1"/>
  <c r="W16" i="4" l="1"/>
  <c r="U16" i="4"/>
  <c r="AD14" i="4"/>
  <c r="AE14" i="4" s="1"/>
  <c r="U10" i="4"/>
  <c r="U14" i="4"/>
  <c r="S14" i="4"/>
  <c r="Z16" i="4"/>
  <c r="AD16" i="4" s="1"/>
  <c r="AE16" i="4" s="1"/>
  <c r="S25" i="5"/>
  <c r="AA36" i="4"/>
  <c r="Y36" i="4"/>
  <c r="Z36" i="4"/>
  <c r="X36" i="4"/>
  <c r="V36" i="4"/>
  <c r="S36" i="4" s="1"/>
  <c r="T35" i="4"/>
  <c r="AC43" i="4"/>
  <c r="R17" i="4"/>
  <c r="S16" i="4"/>
  <c r="AA13" i="4"/>
  <c r="Y13" i="4"/>
  <c r="Z13" i="4"/>
  <c r="X13" i="4"/>
  <c r="AD13" i="4" s="1"/>
  <c r="AE13" i="4" s="1"/>
  <c r="AA42" i="4"/>
  <c r="Y42" i="4"/>
  <c r="Z42" i="4"/>
  <c r="X42" i="4"/>
  <c r="V42" i="4"/>
  <c r="S42" i="4" s="1"/>
  <c r="AA41" i="4"/>
  <c r="Y41" i="4"/>
  <c r="Z41" i="4"/>
  <c r="X41" i="4"/>
  <c r="V41" i="4"/>
  <c r="W41" i="4" s="1"/>
  <c r="AA40" i="4"/>
  <c r="Y40" i="4"/>
  <c r="S40" i="4"/>
  <c r="Z40" i="4"/>
  <c r="X40" i="4"/>
  <c r="AD40" i="4" s="1"/>
  <c r="AE40" i="4" s="1"/>
  <c r="V40" i="4"/>
  <c r="AA39" i="4"/>
  <c r="Y39" i="4"/>
  <c r="Z39" i="4"/>
  <c r="X39" i="4"/>
  <c r="V39" i="4"/>
  <c r="W39" i="4" s="1"/>
  <c r="AA38" i="4"/>
  <c r="Y38" i="4"/>
  <c r="Z38" i="4"/>
  <c r="X38" i="4"/>
  <c r="V38" i="4"/>
  <c r="S38" i="4" s="1"/>
  <c r="AA37" i="4"/>
  <c r="Y37" i="4"/>
  <c r="Z37" i="4"/>
  <c r="X37" i="4"/>
  <c r="V37" i="4"/>
  <c r="W37" i="4" s="1"/>
  <c r="AA35" i="4"/>
  <c r="Y35" i="4"/>
  <c r="R43" i="4"/>
  <c r="X35" i="4"/>
  <c r="Z35" i="4"/>
  <c r="V35" i="4"/>
  <c r="W35" i="4" s="1"/>
  <c r="AD12" i="4"/>
  <c r="AE12" i="4" s="1"/>
  <c r="AD10" i="4"/>
  <c r="AE10" i="4" s="1"/>
  <c r="AA15" i="4"/>
  <c r="Y15" i="4"/>
  <c r="U15" i="4"/>
  <c r="Z15" i="4"/>
  <c r="X15" i="4"/>
  <c r="S15" i="4"/>
  <c r="V13" i="4"/>
  <c r="AA11" i="4"/>
  <c r="Y11" i="4"/>
  <c r="U11" i="4"/>
  <c r="Z11" i="4"/>
  <c r="X11" i="4"/>
  <c r="S11" i="4"/>
  <c r="T9" i="4"/>
  <c r="S10" i="4"/>
  <c r="Z43" i="4" l="1"/>
  <c r="AD42" i="4"/>
  <c r="AE42" i="4" s="1"/>
  <c r="Y43" i="4"/>
  <c r="AD38" i="4"/>
  <c r="AE38" i="4" s="1"/>
  <c r="S31" i="5"/>
  <c r="S95" i="5" s="1"/>
  <c r="S29" i="5"/>
  <c r="S93" i="5" s="1"/>
  <c r="S89" i="5"/>
  <c r="S30" i="5"/>
  <c r="S94" i="5" s="1"/>
  <c r="S28" i="5"/>
  <c r="S92" i="5" s="1"/>
  <c r="T17" i="4"/>
  <c r="AA9" i="4"/>
  <c r="AA17" i="4" s="1"/>
  <c r="Y9" i="4"/>
  <c r="Y17" i="4" s="1"/>
  <c r="Z9" i="4"/>
  <c r="Z17" i="4" s="1"/>
  <c r="X9" i="4"/>
  <c r="AD11" i="4"/>
  <c r="AE11" i="4" s="1"/>
  <c r="W13" i="4"/>
  <c r="S13" i="4"/>
  <c r="AD15" i="4"/>
  <c r="AE15" i="4" s="1"/>
  <c r="X43" i="4"/>
  <c r="AD35" i="4"/>
  <c r="S35" i="4"/>
  <c r="AA43" i="4"/>
  <c r="U39" i="4"/>
  <c r="AD37" i="4"/>
  <c r="AE37" i="4" s="1"/>
  <c r="S37" i="4"/>
  <c r="W38" i="4"/>
  <c r="U38" i="4"/>
  <c r="AD39" i="4"/>
  <c r="AE39" i="4" s="1"/>
  <c r="S39" i="4"/>
  <c r="W40" i="4"/>
  <c r="U40" i="4"/>
  <c r="AD41" i="4"/>
  <c r="AE41" i="4" s="1"/>
  <c r="S41" i="4"/>
  <c r="W42" i="4"/>
  <c r="U42" i="4"/>
  <c r="V17" i="4"/>
  <c r="U37" i="4"/>
  <c r="T43" i="4"/>
  <c r="V43" i="4" s="1"/>
  <c r="U35" i="4"/>
  <c r="AD36" i="4"/>
  <c r="AE36" i="4" s="1"/>
  <c r="U13" i="4"/>
  <c r="V9" i="4"/>
  <c r="U41" i="4"/>
  <c r="W36" i="4"/>
  <c r="U36" i="4"/>
  <c r="W43" i="4" l="1"/>
  <c r="S96" i="5"/>
  <c r="S100" i="5" s="1"/>
  <c r="S104" i="5" s="1"/>
  <c r="S32" i="5"/>
  <c r="S78" i="5" s="1"/>
  <c r="S81" i="5" s="1"/>
  <c r="S85" i="5" s="1"/>
  <c r="AD43" i="4"/>
  <c r="AE35" i="4"/>
  <c r="AE43" i="4" s="1"/>
  <c r="W9" i="4"/>
  <c r="W17" i="4" s="1"/>
  <c r="S9" i="4"/>
  <c r="X17" i="4"/>
  <c r="AD9" i="4"/>
  <c r="U9" i="4"/>
  <c r="AD17" i="4" l="1"/>
  <c r="AE9" i="4"/>
  <c r="AE17" i="4" s="1"/>
  <c r="AA62" i="3" l="1"/>
  <c r="Z62" i="3"/>
  <c r="Y62" i="3"/>
  <c r="X62" i="3"/>
  <c r="T62" i="3"/>
  <c r="V62" i="3" s="1"/>
  <c r="L62" i="3"/>
  <c r="P62" i="3" s="1"/>
  <c r="K62" i="3"/>
  <c r="M62" i="3" s="1"/>
  <c r="Q62" i="3" s="1"/>
  <c r="I62" i="3"/>
  <c r="AC61" i="3"/>
  <c r="AB61" i="3"/>
  <c r="R61" i="3"/>
  <c r="Z61" i="3" s="1"/>
  <c r="L61" i="3"/>
  <c r="P61" i="3" s="1"/>
  <c r="K61" i="3"/>
  <c r="M61" i="3" s="1"/>
  <c r="Q61" i="3" s="1"/>
  <c r="I61" i="3"/>
  <c r="AA60" i="3"/>
  <c r="Z60" i="3"/>
  <c r="Y60" i="3"/>
  <c r="X60" i="3"/>
  <c r="T60" i="3"/>
  <c r="V60" i="3" s="1"/>
  <c r="L60" i="3"/>
  <c r="P60" i="3" s="1"/>
  <c r="K60" i="3"/>
  <c r="M60" i="3" s="1"/>
  <c r="Q60" i="3" s="1"/>
  <c r="I60" i="3"/>
  <c r="AA59" i="3"/>
  <c r="Z59" i="3"/>
  <c r="Y59" i="3"/>
  <c r="X59" i="3"/>
  <c r="T59" i="3"/>
  <c r="V59" i="3" s="1"/>
  <c r="L59" i="3"/>
  <c r="P59" i="3" s="1"/>
  <c r="K59" i="3"/>
  <c r="M59" i="3" s="1"/>
  <c r="Q59" i="3" s="1"/>
  <c r="I59" i="3"/>
  <c r="AC58" i="3"/>
  <c r="AB58" i="3"/>
  <c r="R58" i="3"/>
  <c r="L58" i="3"/>
  <c r="P58" i="3" s="1"/>
  <c r="K58" i="3"/>
  <c r="M58" i="3" s="1"/>
  <c r="Q58" i="3" s="1"/>
  <c r="I58" i="3"/>
  <c r="AC57" i="3"/>
  <c r="AB57" i="3"/>
  <c r="Z57" i="3"/>
  <c r="T57" i="3"/>
  <c r="V57" i="3" s="1"/>
  <c r="R57" i="3"/>
  <c r="X57" i="3" s="1"/>
  <c r="L57" i="3"/>
  <c r="P57" i="3" s="1"/>
  <c r="K57" i="3"/>
  <c r="M57" i="3" s="1"/>
  <c r="Q57" i="3" s="1"/>
  <c r="I57" i="3"/>
  <c r="AC56" i="3"/>
  <c r="AB56" i="3"/>
  <c r="AB63" i="3" s="1"/>
  <c r="Y56" i="3"/>
  <c r="R56" i="3"/>
  <c r="AA56" i="3" s="1"/>
  <c r="L56" i="3"/>
  <c r="P56" i="3" s="1"/>
  <c r="K56" i="3"/>
  <c r="M56" i="3" s="1"/>
  <c r="Q56" i="3" s="1"/>
  <c r="I56" i="3"/>
  <c r="J51" i="3"/>
  <c r="H51" i="3"/>
  <c r="G51" i="3"/>
  <c r="F51" i="3"/>
  <c r="AC50" i="3"/>
  <c r="AB50" i="3"/>
  <c r="R50" i="3"/>
  <c r="J50" i="3"/>
  <c r="K50" i="3" s="1"/>
  <c r="M50" i="3" s="1"/>
  <c r="Q50" i="3" s="1"/>
  <c r="R49" i="3"/>
  <c r="X49" i="3" s="1"/>
  <c r="J49" i="3"/>
  <c r="K49" i="3" s="1"/>
  <c r="M49" i="3" s="1"/>
  <c r="Q49" i="3" s="1"/>
  <c r="I49" i="3"/>
  <c r="AC49" i="3" s="1"/>
  <c r="L48" i="3"/>
  <c r="P48" i="3" s="1"/>
  <c r="K48" i="3"/>
  <c r="M48" i="3" s="1"/>
  <c r="Q48" i="3" s="1"/>
  <c r="I48" i="3"/>
  <c r="AB48" i="3" s="1"/>
  <c r="L47" i="3"/>
  <c r="P47" i="3" s="1"/>
  <c r="K47" i="3"/>
  <c r="M47" i="3" s="1"/>
  <c r="Q47" i="3" s="1"/>
  <c r="I47" i="3"/>
  <c r="AC47" i="3" s="1"/>
  <c r="L46" i="3"/>
  <c r="P46" i="3" s="1"/>
  <c r="T46" i="3" s="1"/>
  <c r="K46" i="3"/>
  <c r="M46" i="3" s="1"/>
  <c r="Q46" i="3" s="1"/>
  <c r="I46" i="3"/>
  <c r="AB46" i="3" s="1"/>
  <c r="L45" i="3"/>
  <c r="P45" i="3" s="1"/>
  <c r="K45" i="3"/>
  <c r="M45" i="3" s="1"/>
  <c r="Q45" i="3" s="1"/>
  <c r="I45" i="3"/>
  <c r="AB45" i="3" s="1"/>
  <c r="L44" i="3"/>
  <c r="P44" i="3" s="1"/>
  <c r="T44" i="3" s="1"/>
  <c r="K44" i="3"/>
  <c r="M44" i="3" s="1"/>
  <c r="Q44" i="3" s="1"/>
  <c r="I44" i="3"/>
  <c r="AB44" i="3" s="1"/>
  <c r="L43" i="3"/>
  <c r="P43" i="3" s="1"/>
  <c r="K43" i="3"/>
  <c r="M43" i="3" s="1"/>
  <c r="Q43" i="3" s="1"/>
  <c r="I43" i="3"/>
  <c r="L42" i="3"/>
  <c r="P42" i="3" s="1"/>
  <c r="T42" i="3" s="1"/>
  <c r="K42" i="3"/>
  <c r="M42" i="3" s="1"/>
  <c r="Q42" i="3" s="1"/>
  <c r="I42" i="3"/>
  <c r="AC42" i="3" s="1"/>
  <c r="P41" i="3"/>
  <c r="L41" i="3"/>
  <c r="K41" i="3"/>
  <c r="M41" i="3" s="1"/>
  <c r="Q41" i="3" s="1"/>
  <c r="I41" i="3"/>
  <c r="AC41" i="3" s="1"/>
  <c r="L40" i="3"/>
  <c r="P40" i="3" s="1"/>
  <c r="T40" i="3" s="1"/>
  <c r="K40" i="3"/>
  <c r="M40" i="3" s="1"/>
  <c r="Q40" i="3" s="1"/>
  <c r="I40" i="3"/>
  <c r="AC40" i="3" s="1"/>
  <c r="L39" i="3"/>
  <c r="P39" i="3" s="1"/>
  <c r="K39" i="3"/>
  <c r="I39" i="3"/>
  <c r="AB39" i="3" s="1"/>
  <c r="J21" i="3"/>
  <c r="H21" i="3"/>
  <c r="G21" i="3"/>
  <c r="F21" i="3"/>
  <c r="R20" i="3"/>
  <c r="J20" i="3"/>
  <c r="AB20" i="3" s="1"/>
  <c r="AC19" i="3"/>
  <c r="K19" i="3"/>
  <c r="M19" i="3" s="1"/>
  <c r="Q19" i="3" s="1"/>
  <c r="J19" i="3"/>
  <c r="AB19" i="3" s="1"/>
  <c r="I19" i="3"/>
  <c r="R19" i="3" s="1"/>
  <c r="AC18" i="3"/>
  <c r="AB18" i="3"/>
  <c r="L18" i="3"/>
  <c r="P18" i="3" s="1"/>
  <c r="K18" i="3"/>
  <c r="M18" i="3" s="1"/>
  <c r="Q18" i="3" s="1"/>
  <c r="I18" i="3"/>
  <c r="R18" i="3" s="1"/>
  <c r="AC17" i="3"/>
  <c r="AB17" i="3"/>
  <c r="L17" i="3"/>
  <c r="P17" i="3" s="1"/>
  <c r="T17" i="3" s="1"/>
  <c r="K17" i="3"/>
  <c r="M17" i="3" s="1"/>
  <c r="Q17" i="3" s="1"/>
  <c r="I17" i="3"/>
  <c r="R17" i="3" s="1"/>
  <c r="AC16" i="3"/>
  <c r="AB16" i="3"/>
  <c r="L16" i="3"/>
  <c r="P16" i="3" s="1"/>
  <c r="K16" i="3"/>
  <c r="M16" i="3" s="1"/>
  <c r="Q16" i="3" s="1"/>
  <c r="I16" i="3"/>
  <c r="R16" i="3" s="1"/>
  <c r="AC15" i="3"/>
  <c r="AB15" i="3"/>
  <c r="L15" i="3"/>
  <c r="P15" i="3" s="1"/>
  <c r="T15" i="3" s="1"/>
  <c r="K15" i="3"/>
  <c r="M15" i="3" s="1"/>
  <c r="Q15" i="3" s="1"/>
  <c r="I15" i="3"/>
  <c r="R15" i="3" s="1"/>
  <c r="AC14" i="3"/>
  <c r="AB14" i="3"/>
  <c r="L14" i="3"/>
  <c r="P14" i="3" s="1"/>
  <c r="K14" i="3"/>
  <c r="M14" i="3" s="1"/>
  <c r="Q14" i="3" s="1"/>
  <c r="I14" i="3"/>
  <c r="R14" i="3" s="1"/>
  <c r="AC13" i="3"/>
  <c r="AB13" i="3"/>
  <c r="L13" i="3"/>
  <c r="P13" i="3" s="1"/>
  <c r="T13" i="3" s="1"/>
  <c r="K13" i="3"/>
  <c r="M13" i="3" s="1"/>
  <c r="Q13" i="3" s="1"/>
  <c r="I13" i="3"/>
  <c r="R13" i="3" s="1"/>
  <c r="AC12" i="3"/>
  <c r="AB12" i="3"/>
  <c r="L12" i="3"/>
  <c r="P12" i="3" s="1"/>
  <c r="K12" i="3"/>
  <c r="M12" i="3" s="1"/>
  <c r="Q12" i="3" s="1"/>
  <c r="I12" i="3"/>
  <c r="R12" i="3" s="1"/>
  <c r="AC11" i="3"/>
  <c r="AB11" i="3"/>
  <c r="L11" i="3"/>
  <c r="P11" i="3" s="1"/>
  <c r="T11" i="3" s="1"/>
  <c r="K11" i="3"/>
  <c r="M11" i="3" s="1"/>
  <c r="Q11" i="3" s="1"/>
  <c r="I11" i="3"/>
  <c r="R11" i="3" s="1"/>
  <c r="AC10" i="3"/>
  <c r="AB10" i="3"/>
  <c r="L10" i="3"/>
  <c r="P10" i="3" s="1"/>
  <c r="K10" i="3"/>
  <c r="M10" i="3" s="1"/>
  <c r="Q10" i="3" s="1"/>
  <c r="I10" i="3"/>
  <c r="R10" i="3" s="1"/>
  <c r="AC9" i="3"/>
  <c r="AB9" i="3"/>
  <c r="L9" i="3"/>
  <c r="P9" i="3" s="1"/>
  <c r="K9" i="3"/>
  <c r="I9" i="3"/>
  <c r="K20" i="3" l="1"/>
  <c r="M20" i="3" s="1"/>
  <c r="Q20" i="3" s="1"/>
  <c r="K51" i="3"/>
  <c r="AC48" i="3"/>
  <c r="AD62" i="3"/>
  <c r="AE62" i="3" s="1"/>
  <c r="T41" i="3"/>
  <c r="AB49" i="3"/>
  <c r="R63" i="3"/>
  <c r="I21" i="3"/>
  <c r="K21" i="3"/>
  <c r="AC20" i="3"/>
  <c r="AC21" i="3" s="1"/>
  <c r="AB41" i="3"/>
  <c r="T56" i="3"/>
  <c r="V56" i="3" s="1"/>
  <c r="W56" i="3" s="1"/>
  <c r="AC63" i="3"/>
  <c r="AD59" i="3"/>
  <c r="AE59" i="3" s="1"/>
  <c r="AD60" i="3"/>
  <c r="AE60" i="3" s="1"/>
  <c r="V11" i="3"/>
  <c r="W11" i="3" s="1"/>
  <c r="V13" i="3"/>
  <c r="W13" i="3" s="1"/>
  <c r="V15" i="3"/>
  <c r="W15" i="3" s="1"/>
  <c r="Z17" i="3"/>
  <c r="X17" i="3"/>
  <c r="AA17" i="3"/>
  <c r="Y17" i="3"/>
  <c r="AB21" i="3"/>
  <c r="T10" i="3"/>
  <c r="V10" i="3" s="1"/>
  <c r="T12" i="3"/>
  <c r="T14" i="3"/>
  <c r="T16" i="3"/>
  <c r="T18" i="3"/>
  <c r="AA11" i="3"/>
  <c r="Y11" i="3"/>
  <c r="Z11" i="3"/>
  <c r="X11" i="3"/>
  <c r="Z13" i="3"/>
  <c r="X13" i="3"/>
  <c r="AA13" i="3"/>
  <c r="Y13" i="3"/>
  <c r="Z15" i="3"/>
  <c r="X15" i="3"/>
  <c r="AA15" i="3"/>
  <c r="Y15" i="3"/>
  <c r="V17" i="3"/>
  <c r="W17" i="3" s="1"/>
  <c r="R9" i="3"/>
  <c r="M9" i="3"/>
  <c r="Q9" i="3" s="1"/>
  <c r="T9" i="3" s="1"/>
  <c r="L19" i="3"/>
  <c r="P19" i="3" s="1"/>
  <c r="T19" i="3" s="1"/>
  <c r="V19" i="3" s="1"/>
  <c r="L20" i="3"/>
  <c r="P20" i="3" s="1"/>
  <c r="T20" i="3" s="1"/>
  <c r="V20" i="3" s="1"/>
  <c r="I51" i="3"/>
  <c r="AC39" i="3"/>
  <c r="R39" i="3"/>
  <c r="AB40" i="3"/>
  <c r="R41" i="3"/>
  <c r="AB42" i="3"/>
  <c r="AB43" i="3"/>
  <c r="R43" i="3"/>
  <c r="AC43" i="3"/>
  <c r="T43" i="3"/>
  <c r="T45" i="3"/>
  <c r="T47" i="3"/>
  <c r="M39" i="3"/>
  <c r="Q39" i="3" s="1"/>
  <c r="T39" i="3" s="1"/>
  <c r="R40" i="3"/>
  <c r="R42" i="3"/>
  <c r="AC44" i="3"/>
  <c r="AC45" i="3"/>
  <c r="AC46" i="3"/>
  <c r="T48" i="3"/>
  <c r="L49" i="3"/>
  <c r="P49" i="3" s="1"/>
  <c r="T49" i="3" s="1"/>
  <c r="V49" i="3" s="1"/>
  <c r="AA49" i="3"/>
  <c r="Y49" i="3"/>
  <c r="Z49" i="3"/>
  <c r="AD49" i="3" s="1"/>
  <c r="AE49" i="3" s="1"/>
  <c r="R44" i="3"/>
  <c r="R45" i="3"/>
  <c r="R46" i="3"/>
  <c r="AB47" i="3"/>
  <c r="R47" i="3"/>
  <c r="L50" i="3"/>
  <c r="P50" i="3" s="1"/>
  <c r="T50" i="3" s="1"/>
  <c r="V50" i="3"/>
  <c r="W50" i="3" s="1"/>
  <c r="X50" i="3"/>
  <c r="Z50" i="3"/>
  <c r="X58" i="3"/>
  <c r="Z58" i="3"/>
  <c r="Y61" i="3"/>
  <c r="AA61" i="3"/>
  <c r="R48" i="3"/>
  <c r="Y50" i="3"/>
  <c r="AA50" i="3"/>
  <c r="X56" i="3"/>
  <c r="Z56" i="3"/>
  <c r="Y57" i="3"/>
  <c r="AA57" i="3"/>
  <c r="AA63" i="3" s="1"/>
  <c r="T58" i="3"/>
  <c r="V58" i="3" s="1"/>
  <c r="W58" i="3" s="1"/>
  <c r="Y58" i="3"/>
  <c r="AA58" i="3"/>
  <c r="T61" i="3"/>
  <c r="V61" i="3" s="1"/>
  <c r="X61" i="3"/>
  <c r="AD57" i="3" l="1"/>
  <c r="AE57" i="3" s="1"/>
  <c r="AB51" i="3"/>
  <c r="AB65" i="3" s="1"/>
  <c r="R66" i="3" s="1"/>
  <c r="AD61" i="3"/>
  <c r="AE61" i="3" s="1"/>
  <c r="U11" i="3"/>
  <c r="S11" i="3"/>
  <c r="W49" i="3"/>
  <c r="S49" i="3"/>
  <c r="T21" i="3"/>
  <c r="Z9" i="3"/>
  <c r="X9" i="3"/>
  <c r="AA9" i="3"/>
  <c r="Y9" i="3"/>
  <c r="T51" i="3"/>
  <c r="W19" i="3"/>
  <c r="S19" i="3"/>
  <c r="W10" i="3"/>
  <c r="S10" i="3"/>
  <c r="Z48" i="3"/>
  <c r="X48" i="3"/>
  <c r="V48" i="3"/>
  <c r="W48" i="3" s="1"/>
  <c r="AA48" i="3"/>
  <c r="Y48" i="3"/>
  <c r="Z47" i="3"/>
  <c r="X47" i="3"/>
  <c r="V47" i="3"/>
  <c r="W47" i="3" s="1"/>
  <c r="AA47" i="3"/>
  <c r="Y47" i="3"/>
  <c r="Z46" i="3"/>
  <c r="X46" i="3"/>
  <c r="V46" i="3"/>
  <c r="S46" i="3" s="1"/>
  <c r="AA46" i="3"/>
  <c r="Y46" i="3"/>
  <c r="AA40" i="3"/>
  <c r="Y40" i="3"/>
  <c r="Z40" i="3"/>
  <c r="V40" i="3"/>
  <c r="X40" i="3"/>
  <c r="AD40" i="3" s="1"/>
  <c r="AE40" i="3" s="1"/>
  <c r="Z63" i="3"/>
  <c r="S50" i="3"/>
  <c r="AD58" i="3"/>
  <c r="AE58" i="3" s="1"/>
  <c r="AD50" i="3"/>
  <c r="AE50" i="3" s="1"/>
  <c r="U50" i="3"/>
  <c r="Y63" i="3"/>
  <c r="Z45" i="3"/>
  <c r="X45" i="3"/>
  <c r="V45" i="3"/>
  <c r="W45" i="3" s="1"/>
  <c r="AA45" i="3"/>
  <c r="Y45" i="3"/>
  <c r="S45" i="3"/>
  <c r="AA42" i="3"/>
  <c r="Y42" i="3"/>
  <c r="Z42" i="3"/>
  <c r="V42" i="3"/>
  <c r="X42" i="3"/>
  <c r="U47" i="3"/>
  <c r="Z43" i="3"/>
  <c r="X43" i="3"/>
  <c r="V43" i="3"/>
  <c r="W43" i="3" s="1"/>
  <c r="AA43" i="3"/>
  <c r="Y43" i="3"/>
  <c r="AC51" i="3"/>
  <c r="AC65" i="3" s="1"/>
  <c r="R67" i="3" s="1"/>
  <c r="AA20" i="3"/>
  <c r="Y20" i="3"/>
  <c r="U20" i="3"/>
  <c r="Z20" i="3"/>
  <c r="X20" i="3"/>
  <c r="S17" i="3"/>
  <c r="U15" i="3"/>
  <c r="AD15" i="3"/>
  <c r="AE15" i="3" s="1"/>
  <c r="U13" i="3"/>
  <c r="AD13" i="3"/>
  <c r="AE13" i="3" s="1"/>
  <c r="AD11" i="3"/>
  <c r="AE11" i="3" s="1"/>
  <c r="Z16" i="3"/>
  <c r="X16" i="3"/>
  <c r="AA16" i="3"/>
  <c r="Y16" i="3"/>
  <c r="V16" i="3"/>
  <c r="U16" i="3" s="1"/>
  <c r="Z12" i="3"/>
  <c r="X12" i="3"/>
  <c r="AA12" i="3"/>
  <c r="Y12" i="3"/>
  <c r="V12" i="3"/>
  <c r="U12" i="3" s="1"/>
  <c r="U17" i="3"/>
  <c r="AD17" i="3"/>
  <c r="AE17" i="3" s="1"/>
  <c r="S15" i="3"/>
  <c r="S13" i="3"/>
  <c r="AD56" i="3"/>
  <c r="AE56" i="3" s="1"/>
  <c r="X63" i="3"/>
  <c r="Z44" i="3"/>
  <c r="X44" i="3"/>
  <c r="V44" i="3"/>
  <c r="AA44" i="3"/>
  <c r="Y44" i="3"/>
  <c r="S44" i="3"/>
  <c r="U49" i="3"/>
  <c r="U45" i="3"/>
  <c r="AA41" i="3"/>
  <c r="Y41" i="3"/>
  <c r="X41" i="3"/>
  <c r="Z41" i="3"/>
  <c r="V41" i="3"/>
  <c r="S41" i="3" s="1"/>
  <c r="R51" i="3"/>
  <c r="R65" i="3" s="1"/>
  <c r="AA39" i="3"/>
  <c r="AA51" i="3" s="1"/>
  <c r="AA65" i="3" s="1"/>
  <c r="Y39" i="3"/>
  <c r="S39" i="3"/>
  <c r="X39" i="3"/>
  <c r="Z39" i="3"/>
  <c r="Z51" i="3" s="1"/>
  <c r="Z65" i="3" s="1"/>
  <c r="V39" i="3"/>
  <c r="W39" i="3" s="1"/>
  <c r="AA19" i="3"/>
  <c r="Y19" i="3"/>
  <c r="U19" i="3"/>
  <c r="Z19" i="3"/>
  <c r="X19" i="3"/>
  <c r="V9" i="3"/>
  <c r="R21" i="3"/>
  <c r="S9" i="3"/>
  <c r="W20" i="3"/>
  <c r="S20" i="3"/>
  <c r="Z18" i="3"/>
  <c r="X18" i="3"/>
  <c r="AA18" i="3"/>
  <c r="Y18" i="3"/>
  <c r="U18" i="3"/>
  <c r="V18" i="3"/>
  <c r="Z14" i="3"/>
  <c r="X14" i="3"/>
  <c r="AA14" i="3"/>
  <c r="Y14" i="3"/>
  <c r="V14" i="3"/>
  <c r="U14" i="3" s="1"/>
  <c r="AA10" i="3"/>
  <c r="Y10" i="3"/>
  <c r="U10" i="3"/>
  <c r="Z10" i="3"/>
  <c r="X10" i="3"/>
  <c r="Y51" i="3" l="1"/>
  <c r="Y65" i="3" s="1"/>
  <c r="S48" i="3"/>
  <c r="AD48" i="3"/>
  <c r="AE48" i="3" s="1"/>
  <c r="AD10" i="3"/>
  <c r="AE10" i="3" s="1"/>
  <c r="S43" i="3"/>
  <c r="U48" i="3"/>
  <c r="AD18" i="3"/>
  <c r="AE18" i="3" s="1"/>
  <c r="V21" i="3"/>
  <c r="W9" i="3"/>
  <c r="R70" i="3"/>
  <c r="R68" i="3"/>
  <c r="R71" i="3"/>
  <c r="R69" i="3"/>
  <c r="AD14" i="3"/>
  <c r="AE14" i="3" s="1"/>
  <c r="W18" i="3"/>
  <c r="S18" i="3"/>
  <c r="AD19" i="3"/>
  <c r="AE19" i="3" s="1"/>
  <c r="X51" i="3"/>
  <c r="X65" i="3" s="1"/>
  <c r="AD39" i="3"/>
  <c r="W41" i="3"/>
  <c r="U41" i="3"/>
  <c r="AD41" i="3"/>
  <c r="AE41" i="3" s="1"/>
  <c r="AD44" i="3"/>
  <c r="AE44" i="3" s="1"/>
  <c r="W12" i="3"/>
  <c r="S12" i="3"/>
  <c r="AD16" i="3"/>
  <c r="AE16" i="3" s="1"/>
  <c r="AD20" i="3"/>
  <c r="AE20" i="3" s="1"/>
  <c r="AD43" i="3"/>
  <c r="AE43" i="3" s="1"/>
  <c r="U43" i="3"/>
  <c r="AD42" i="3"/>
  <c r="AE42" i="3" s="1"/>
  <c r="W40" i="3"/>
  <c r="U40" i="3"/>
  <c r="S40" i="3"/>
  <c r="W46" i="3"/>
  <c r="U46" i="3"/>
  <c r="S47" i="3"/>
  <c r="AD47" i="3"/>
  <c r="AE47" i="3" s="1"/>
  <c r="Y21" i="3"/>
  <c r="Z21" i="3"/>
  <c r="W14" i="3"/>
  <c r="S14" i="3"/>
  <c r="W44" i="3"/>
  <c r="U44" i="3"/>
  <c r="AD12" i="3"/>
  <c r="AE12" i="3" s="1"/>
  <c r="W16" i="3"/>
  <c r="S16" i="3"/>
  <c r="W42" i="3"/>
  <c r="U42" i="3"/>
  <c r="S42" i="3"/>
  <c r="AD45" i="3"/>
  <c r="AE45" i="3" s="1"/>
  <c r="AD46" i="3"/>
  <c r="AE46" i="3" s="1"/>
  <c r="U39" i="3"/>
  <c r="U9" i="3"/>
  <c r="AA21" i="3"/>
  <c r="AD9" i="3"/>
  <c r="X21" i="3"/>
  <c r="W51" i="3" l="1"/>
  <c r="R72" i="3"/>
  <c r="AD21" i="3"/>
  <c r="AE9" i="3"/>
  <c r="AE21" i="3" s="1"/>
  <c r="AD51" i="3"/>
  <c r="AE39" i="3"/>
  <c r="AE51" i="3" s="1"/>
  <c r="W21" i="3"/>
  <c r="F11" i="1" l="1"/>
  <c r="D11" i="1"/>
  <c r="W10" i="1" l="1"/>
  <c r="W11" i="1"/>
  <c r="V10" i="1"/>
  <c r="V11" i="1"/>
  <c r="V12" i="1" s="1"/>
  <c r="D10" i="1"/>
  <c r="V9" i="1"/>
  <c r="D9" i="1"/>
  <c r="F43" i="2"/>
  <c r="H43" i="2" s="1"/>
  <c r="F42" i="2"/>
  <c r="I10" i="1"/>
  <c r="I11" i="1"/>
  <c r="I9" i="1"/>
  <c r="G10" i="1"/>
  <c r="G11" i="1"/>
  <c r="G9" i="1"/>
  <c r="F12" i="1"/>
  <c r="E12" i="1"/>
  <c r="J10" i="1"/>
  <c r="N10" i="1" s="1"/>
  <c r="J11" i="1"/>
  <c r="N11" i="1" s="1"/>
  <c r="J9" i="1"/>
  <c r="N9" i="1" s="1"/>
  <c r="H10" i="1"/>
  <c r="K10" i="1" s="1"/>
  <c r="O10" i="1" s="1"/>
  <c r="H11" i="1"/>
  <c r="K11" i="1" s="1"/>
  <c r="O11" i="1" s="1"/>
  <c r="H9" i="1"/>
  <c r="K9" i="1"/>
  <c r="O9" i="1" s="1"/>
  <c r="D37" i="2"/>
  <c r="D39" i="2" s="1"/>
  <c r="W9" i="1"/>
  <c r="C12" i="1"/>
  <c r="G12" i="1"/>
  <c r="W12" i="1" l="1"/>
  <c r="O12" i="1"/>
  <c r="N12" i="1"/>
  <c r="P10" i="1"/>
  <c r="P9" i="1"/>
  <c r="P11" i="1"/>
  <c r="H12" i="1"/>
  <c r="F44" i="2"/>
  <c r="H42" i="2"/>
  <c r="H44" i="2" s="1"/>
  <c r="T10" i="1" l="1"/>
  <c r="S10" i="1"/>
  <c r="U9" i="1"/>
  <c r="S9" i="1"/>
  <c r="T11" i="1"/>
  <c r="S11" i="1"/>
  <c r="U11" i="1"/>
  <c r="U10" i="1"/>
  <c r="T9" i="1"/>
  <c r="P12" i="1"/>
  <c r="R9" i="1"/>
  <c r="Q9" i="1"/>
  <c r="R11" i="1"/>
  <c r="Q11" i="1"/>
  <c r="R10" i="1"/>
  <c r="X10" i="1" l="1"/>
  <c r="Y10" i="1" s="1"/>
  <c r="S12" i="1"/>
  <c r="U12" i="1"/>
  <c r="T12" i="1"/>
  <c r="X11" i="1"/>
  <c r="Y11" i="1" s="1"/>
  <c r="Q12" i="1"/>
  <c r="R12" i="1"/>
  <c r="X9" i="1"/>
  <c r="Y9" i="1" l="1"/>
  <c r="Y12" i="1" s="1"/>
  <c r="X12" i="1"/>
</calcChain>
</file>

<file path=xl/sharedStrings.xml><?xml version="1.0" encoding="utf-8"?>
<sst xmlns="http://schemas.openxmlformats.org/spreadsheetml/2006/main" count="788" uniqueCount="305">
  <si>
    <t xml:space="preserve">Grant Application </t>
  </si>
  <si>
    <t xml:space="preserve">Salary Budget </t>
  </si>
  <si>
    <t xml:space="preserve">For Budget Purposes Only </t>
  </si>
  <si>
    <t>Work Hours</t>
  </si>
  <si>
    <t>Fringes</t>
  </si>
  <si>
    <t>Insurance</t>
  </si>
  <si>
    <t xml:space="preserve">Slot # </t>
  </si>
  <si>
    <t xml:space="preserve">Position Title </t>
  </si>
  <si>
    <t xml:space="preserve">Actual Salary (General Fund) </t>
  </si>
  <si>
    <t xml:space="preserve"> Projected Salaries</t>
  </si>
  <si>
    <t>Salary per month</t>
  </si>
  <si>
    <t>FICA       (7.65%</t>
  </si>
  <si>
    <t>Unemployment  (1.00%)</t>
  </si>
  <si>
    <t>Health Ins.</t>
  </si>
  <si>
    <t>Life Ins.</t>
  </si>
  <si>
    <t>Projected Fringes</t>
  </si>
  <si>
    <t>Projected Total Salaries</t>
  </si>
  <si>
    <t>G003</t>
  </si>
  <si>
    <t>Public Health Specialist</t>
  </si>
  <si>
    <t>G004</t>
  </si>
  <si>
    <t>Administrative Assistant III</t>
  </si>
  <si>
    <t>G005</t>
  </si>
  <si>
    <t>Public Health Technician I</t>
  </si>
  <si>
    <t xml:space="preserve">Notes: </t>
  </si>
  <si>
    <t xml:space="preserve">2013 PAYROLL SCHEDULE </t>
  </si>
  <si>
    <t>Pay Period</t>
  </si>
  <si>
    <t xml:space="preserve">Work Period Covered </t>
  </si>
  <si>
    <t xml:space="preserve">Pay Day </t>
  </si>
  <si>
    <t xml:space="preserve">Number of Days </t>
  </si>
  <si>
    <t>08/26/2013 - 08/31/2013</t>
  </si>
  <si>
    <t>(8 hrs per day)</t>
  </si>
  <si>
    <t xml:space="preserve">Number of Work Hours in FY 13 Period = </t>
  </si>
  <si>
    <t xml:space="preserve">Number of Work Days To Be Paid at 2013 Salary </t>
  </si>
  <si>
    <t xml:space="preserve">Hourly Rate With 3% COLA </t>
  </si>
  <si>
    <t xml:space="preserve">Actual Salary (RLSS Progam) </t>
  </si>
  <si>
    <t>For FY 14 Grant Periods (09/01/2013 through 08/31/2014)</t>
  </si>
  <si>
    <t>09/01/2013 - 09/08/2013</t>
  </si>
  <si>
    <t>09/09/2013 - 09/22/2013</t>
  </si>
  <si>
    <t>09/23/2013 - 10/06/2013</t>
  </si>
  <si>
    <t>10/07/2013 - 10/20/2013</t>
  </si>
  <si>
    <t>10/21/2013 - 11/03/2013</t>
  </si>
  <si>
    <t>11/04/2013 - 11/17/2013</t>
  </si>
  <si>
    <t>11/18/2013 - 12/01/2013</t>
  </si>
  <si>
    <t>12/02/2013 - 12/15/2013</t>
  </si>
  <si>
    <t>12/16/2013 - 12/29/2013</t>
  </si>
  <si>
    <t>12/30/2013 - 01/12/2014</t>
  </si>
  <si>
    <t>01/13/2014 - 01/26/2014</t>
  </si>
  <si>
    <t>01/27/2014 - 02/09/2014</t>
  </si>
  <si>
    <t>02/10/2014 - 02/23/2014</t>
  </si>
  <si>
    <t>02/24/2014 - 03/09/2014</t>
  </si>
  <si>
    <t>03/10/2014 - 03/23/2014</t>
  </si>
  <si>
    <t>03/24/2014 - 04/06/2014</t>
  </si>
  <si>
    <t>04/07/2014 - 04/20/2014</t>
  </si>
  <si>
    <t>04/21/2014 - 05/04/2014</t>
  </si>
  <si>
    <t>05/05/2014 - 05/18/2014</t>
  </si>
  <si>
    <t>05/19/2014 - 06/01/2014</t>
  </si>
  <si>
    <t>06/02/2014 - 06/15/2014</t>
  </si>
  <si>
    <t>06/16/2014 - 06/29/2014</t>
  </si>
  <si>
    <t>06/30/2014 - 07/13/2014</t>
  </si>
  <si>
    <t>07/14/2014 - 07/27/2014</t>
  </si>
  <si>
    <t>07/28/2014 - 08/10/2014</t>
  </si>
  <si>
    <t>08/11/2014 - 08/24/2014</t>
  </si>
  <si>
    <t>08/25/2014 - 08/30/2014</t>
  </si>
  <si>
    <t>Number of Work Days in 2013 FY 14</t>
  </si>
  <si>
    <t>Number of Work Days in 2014 FY 14</t>
  </si>
  <si>
    <t xml:space="preserve">Number of Work Days To Be Paid at 2014 Salary </t>
  </si>
  <si>
    <t xml:space="preserve">26 pay periods / 260 days </t>
  </si>
  <si>
    <t>Budgeted Salary</t>
  </si>
  <si>
    <t>Projected Budgeted Salary w/ 3%</t>
  </si>
  <si>
    <t>Projected Salary (General Fund)  with 3% COLA</t>
  </si>
  <si>
    <t>Projected  Salary (RLSS Progam) with 3% COLA</t>
  </si>
  <si>
    <t xml:space="preserve"> Actual  (Gen Fund) Hourly Rate Without 3% COLA </t>
  </si>
  <si>
    <t xml:space="preserve">Actual  (RLSS) Hourly Rate Without 3% COLA </t>
  </si>
  <si>
    <t># of Hours in 2013</t>
  </si>
  <si>
    <t># of   Hours in 2014</t>
  </si>
  <si>
    <t>Salary Amount from 09/13 - 12/13</t>
  </si>
  <si>
    <t>Salary Amount from 01/14 - 08/14</t>
  </si>
  <si>
    <t>Retirement  (10.32%)</t>
  </si>
  <si>
    <t>Workers Comp (1.00%)</t>
  </si>
  <si>
    <t xml:space="preserve">A 3%cost of living increase is budgeted from 01/01/14 to 08/31/14. </t>
  </si>
  <si>
    <t xml:space="preserve">2013 fringe benefit rates are used as best available information on 03/22/13.  </t>
  </si>
  <si>
    <t>Actual work hours in grant period used which total to 2,080 for FY 14.</t>
  </si>
  <si>
    <t>RLSS / LPHS FY 14</t>
  </si>
  <si>
    <t>09/01/2013 - 08/31/2014</t>
  </si>
  <si>
    <t>TB CONTROL FY 14</t>
  </si>
  <si>
    <t>T.B. Control FY 14 (program 008)</t>
  </si>
  <si>
    <t xml:space="preserve">Hourly Rate </t>
  </si>
  <si>
    <t xml:space="preserve">Employee # </t>
  </si>
  <si>
    <t xml:space="preserve">Employee Name </t>
  </si>
  <si>
    <t xml:space="preserve">Grade &amp; Step Salary </t>
  </si>
  <si>
    <t>2013 Budgeted Salary</t>
  </si>
  <si>
    <t>Actual Salary (Prog 005)</t>
  </si>
  <si>
    <t>Prog 005 &amp; GF With 3% COLA</t>
  </si>
  <si>
    <t>Actual Salary (TB Progam)  (current)</t>
  </si>
  <si>
    <t>TB Program Salary With 3% COLA</t>
  </si>
  <si>
    <t>Hourly Rate (current)</t>
  </si>
  <si>
    <t xml:space="preserve">Hourly Rate With 3% </t>
  </si>
  <si>
    <t># of   Hours in 2013</t>
  </si>
  <si>
    <t>Salary Amount from 09/01/13 - 12/31/13</t>
  </si>
  <si>
    <t>Salary Amount from 01/01/14 - 08/31/14</t>
  </si>
  <si>
    <t xml:space="preserve">Projected Other Salaries (Other Sources) </t>
  </si>
  <si>
    <t>%</t>
  </si>
  <si>
    <t xml:space="preserve">Total Salaries (All Sources) </t>
  </si>
  <si>
    <t>Projected Total Salaries &amp; Fringes</t>
  </si>
  <si>
    <t>G001</t>
  </si>
  <si>
    <t>031925</t>
  </si>
  <si>
    <t>LICENSED VOCATIONAL NURSE III</t>
  </si>
  <si>
    <t>13/ 1</t>
  </si>
  <si>
    <t>G002</t>
  </si>
  <si>
    <t>077909</t>
  </si>
  <si>
    <t>OUTREACH SPECIALIST I</t>
  </si>
  <si>
    <t>104426</t>
  </si>
  <si>
    <t>168025</t>
  </si>
  <si>
    <t>BILLING SPECIALIST II</t>
  </si>
  <si>
    <t>133221</t>
  </si>
  <si>
    <t>4 / 4</t>
  </si>
  <si>
    <t>G006</t>
  </si>
  <si>
    <t>057452</t>
  </si>
  <si>
    <t>TB PROGRAM MANGER</t>
  </si>
  <si>
    <t>4 / 3</t>
  </si>
  <si>
    <t>G008</t>
  </si>
  <si>
    <t>187879</t>
  </si>
  <si>
    <t>TB REGISTERED NURSE</t>
  </si>
  <si>
    <t>4 / 1</t>
  </si>
  <si>
    <t>G009</t>
  </si>
  <si>
    <t>047856</t>
  </si>
  <si>
    <t>CLERK III</t>
  </si>
  <si>
    <t>6 / 3</t>
  </si>
  <si>
    <t>G010</t>
  </si>
  <si>
    <t>188077</t>
  </si>
  <si>
    <t>LIMITED MEDICAL RADIOLOGIC TECHNOLOGIST</t>
  </si>
  <si>
    <t>LVN II</t>
  </si>
  <si>
    <t>NEW</t>
  </si>
  <si>
    <t>This schedule was prepared when the grant application was submitted to DSHS on 07/09/13</t>
  </si>
  <si>
    <t>A 3% cost of living increase is budgeted from 01/01/14 to 08/31/14. (pending CC approval)</t>
  </si>
  <si>
    <t xml:space="preserve">2013 fringe benefit rates are used as this is the latest information available at this time.  </t>
  </si>
  <si>
    <t xml:space="preserve">Actual work hours in grant period used which total to 2,080 for FY 14. </t>
  </si>
  <si>
    <t>County Salary Schedule ------------&gt;</t>
  </si>
  <si>
    <t>2013 Fringe Rates --------------------&gt;</t>
  </si>
  <si>
    <t>LOCAL MATCH ($168,699)</t>
  </si>
  <si>
    <t>REQUIRED</t>
  </si>
  <si>
    <t>ADDITIONAL STAFF FROM GENERAL FUND FOR LOCAL MATCH REQUIREMENT</t>
  </si>
  <si>
    <t>Actual Salary (GEN FUND)  (current)</t>
  </si>
  <si>
    <t>0029</t>
  </si>
  <si>
    <t>TB Record Manager</t>
  </si>
  <si>
    <t>0024</t>
  </si>
  <si>
    <t>0110</t>
  </si>
  <si>
    <t>RN IV</t>
  </si>
  <si>
    <t>0030</t>
  </si>
  <si>
    <t>Billing Specialist</t>
  </si>
  <si>
    <t>0022</t>
  </si>
  <si>
    <t>0125</t>
  </si>
  <si>
    <t xml:space="preserve">RN V </t>
  </si>
  <si>
    <t>0021</t>
  </si>
  <si>
    <t xml:space="preserve">Total Match </t>
  </si>
  <si>
    <t xml:space="preserve">Health Ins. </t>
  </si>
  <si>
    <t xml:space="preserve">FICA </t>
  </si>
  <si>
    <t xml:space="preserve">Retirement </t>
  </si>
  <si>
    <t>Unemploy</t>
  </si>
  <si>
    <t>Workers Comp</t>
  </si>
  <si>
    <t>TB ELIMINATION FY 14  (FEDERAL)</t>
  </si>
  <si>
    <t>T.B. Elimination FY 14 (program 011)</t>
  </si>
  <si>
    <t xml:space="preserve"> Projected Salaries (TB Funding) </t>
  </si>
  <si>
    <t>101303</t>
  </si>
  <si>
    <t>Licensed Vocational Nurse III</t>
  </si>
  <si>
    <t>147869</t>
  </si>
  <si>
    <t>186376</t>
  </si>
  <si>
    <t>099775</t>
  </si>
  <si>
    <t>Outreach Specialist I</t>
  </si>
  <si>
    <t>G007</t>
  </si>
  <si>
    <t>138371</t>
  </si>
  <si>
    <t>Asst TB Records Mngr</t>
  </si>
  <si>
    <t>181609</t>
  </si>
  <si>
    <t>177547</t>
  </si>
  <si>
    <t>G011</t>
  </si>
  <si>
    <t>093904</t>
  </si>
  <si>
    <t>4 / 2</t>
  </si>
  <si>
    <t>This schedule was prepared when the grant application was submitted to DSHS on 07/09/13.</t>
  </si>
  <si>
    <t>New</t>
  </si>
  <si>
    <t>TB OutreachWorker/Medical Assistant</t>
  </si>
  <si>
    <t>IMMUNIZATION FY 14</t>
  </si>
  <si>
    <t xml:space="preserve">Salary / Fringes Salary Schedule </t>
  </si>
  <si>
    <t>Distribution</t>
  </si>
  <si>
    <t xml:space="preserve"> Actual Salary</t>
  </si>
  <si>
    <t>With 3% COLA Increase</t>
  </si>
  <si>
    <t>Hourly Rate W / COLA</t>
  </si>
  <si>
    <t># of Hours @ 2013 Pay</t>
  </si>
  <si>
    <t># of   Hours @ 2014    Pay</t>
  </si>
  <si>
    <t>09/01/13 - 12/31/13</t>
  </si>
  <si>
    <t>01/01/14 - 08/31/14</t>
  </si>
  <si>
    <t>340-003</t>
  </si>
  <si>
    <t>340-005</t>
  </si>
  <si>
    <t>340-012</t>
  </si>
  <si>
    <t>0001</t>
  </si>
  <si>
    <t>047643</t>
  </si>
  <si>
    <t>TX Vaccines Educator</t>
  </si>
  <si>
    <t>141607</t>
  </si>
  <si>
    <t xml:space="preserve">TX Vaccines Manager </t>
  </si>
  <si>
    <t>0003</t>
  </si>
  <si>
    <t>047589</t>
  </si>
  <si>
    <t xml:space="preserve">Outreach Specialist II </t>
  </si>
  <si>
    <t>0004</t>
  </si>
  <si>
    <t>142425</t>
  </si>
  <si>
    <t>0005</t>
  </si>
  <si>
    <t>031755</t>
  </si>
  <si>
    <t>132497</t>
  </si>
  <si>
    <t>Lic. Voc. Nurse II</t>
  </si>
  <si>
    <t>033529</t>
  </si>
  <si>
    <t>134651</t>
  </si>
  <si>
    <t>165719</t>
  </si>
  <si>
    <t xml:space="preserve">Community Srv Aide </t>
  </si>
  <si>
    <t>161306</t>
  </si>
  <si>
    <t>G012</t>
  </si>
  <si>
    <t>058335</t>
  </si>
  <si>
    <t>G013</t>
  </si>
  <si>
    <t>005886</t>
  </si>
  <si>
    <t>0014</t>
  </si>
  <si>
    <t>152323</t>
  </si>
  <si>
    <t>0015</t>
  </si>
  <si>
    <t>106321</t>
  </si>
  <si>
    <t>0016</t>
  </si>
  <si>
    <t>052035</t>
  </si>
  <si>
    <t>0017</t>
  </si>
  <si>
    <t>193852</t>
  </si>
  <si>
    <t>Total Salaries - &gt;</t>
  </si>
  <si>
    <t>Health Insurance  - ($347.00 / month for 16 employees prorated based on % of pay)</t>
  </si>
  <si>
    <t>Life Insurance  - ($27 / Yr / person prorated by % of pay)</t>
  </si>
  <si>
    <t xml:space="preserve">FICA  - (7.65% * Gross Salary) </t>
  </si>
  <si>
    <t>Retirement  - (10.32% * Gross Salary)</t>
  </si>
  <si>
    <t>Unemployment  - (1.0% * Gross Salary)</t>
  </si>
  <si>
    <t>Worker's Comp - (1.0% * Gross Salary)</t>
  </si>
  <si>
    <t xml:space="preserve">Total Salaries &amp; Fringes Projected for FY 14 </t>
  </si>
  <si>
    <t>The program budget and salary schedule were prepared when the grant application was submitted on April 5, 2013.</t>
  </si>
  <si>
    <t xml:space="preserve">A 3% COLA increase is budgeted from 01/01/14 to 08/31/14 pending CC approval.   </t>
  </si>
  <si>
    <t xml:space="preserve">If pay increase does not materialize, a budget revision will be done at a later time. </t>
  </si>
  <si>
    <t>Fringes rates used in this schedule were based on the information available during the time the grant application was prepared and completed (March 2013).</t>
  </si>
  <si>
    <t xml:space="preserve">The proposed LVN position salary distribution was computed as using $33,663.00 in program income monies and $7,667.62 in grant monies.  </t>
  </si>
  <si>
    <t>There are 2,080 work hours during the grant period of 09/01/2013 through 08/31/2014.</t>
  </si>
  <si>
    <t xml:space="preserve">Slot # 0017 is funded with part Immunization grant and part Immunization program income.  </t>
  </si>
  <si>
    <t>Salaries &amp; Fringes to be funded by Immunization Program Income for Slot #0017:</t>
  </si>
  <si>
    <t>Health Insurance  - ($347.00 / month * 12 months)</t>
  </si>
  <si>
    <t>Life Insurance  - ($27 / Yr / person)</t>
  </si>
  <si>
    <t>Amount to be funded by Program Income ----&gt;</t>
  </si>
  <si>
    <t xml:space="preserve">Slot # 0016 is funded with part Immunization grant and part Immunization program income.  </t>
  </si>
  <si>
    <t>Salaries &amp; Fringes to be funded by Immunization Program Income for Slot #0016:</t>
  </si>
  <si>
    <t xml:space="preserve">Slot # 0015 is funded with part Immunization grant and part Immunization program income.  </t>
  </si>
  <si>
    <t>Salaries &amp; Fringes to be funded by Immunization Program Income for Slot #0015:</t>
  </si>
  <si>
    <t>Adjusted Salaries / Fringes from Grant Funds</t>
  </si>
  <si>
    <t xml:space="preserve">Equipment (Refrigerators) </t>
  </si>
  <si>
    <t xml:space="preserve">Supplies (Other) </t>
  </si>
  <si>
    <t>Adjusted Grant Funds</t>
  </si>
  <si>
    <t xml:space="preserve">Grant Award </t>
  </si>
  <si>
    <t>Variance</t>
  </si>
  <si>
    <t xml:space="preserve">REVISED SALARIES / FRINGES FUNDED BY GRANT FUNDING: </t>
  </si>
  <si>
    <t xml:space="preserve">Supplies (controlled assets) </t>
  </si>
  <si>
    <t>Total amount under Grant Funding</t>
  </si>
  <si>
    <t>Grant Award Amount</t>
  </si>
  <si>
    <t>Slot 17</t>
  </si>
  <si>
    <t>Slot 16</t>
  </si>
  <si>
    <t xml:space="preserve">Totals for three positions to be covered in part by Program Income funds: </t>
  </si>
  <si>
    <t>Total Fringes</t>
  </si>
  <si>
    <t>PUBLIC HEALTH EMERGENCY PREPAREDNESS (PHEP) FY 14</t>
  </si>
  <si>
    <t>PHEP FY 14 (program 013)</t>
  </si>
  <si>
    <t>Actual Salary (PHEP Progam)  (current)</t>
  </si>
  <si>
    <t>Salary Amount from 01/13 - 08/14</t>
  </si>
  <si>
    <t>115541</t>
  </si>
  <si>
    <t>PUBLIC HEALTH PREP COORD</t>
  </si>
  <si>
    <t>161187</t>
  </si>
  <si>
    <t>PUBLIC HEALTH PLANNER</t>
  </si>
  <si>
    <t>0007</t>
  </si>
  <si>
    <t>115924</t>
  </si>
  <si>
    <t>LICENSED VOCATIONAL NURSE II</t>
  </si>
  <si>
    <t>0008</t>
  </si>
  <si>
    <t>187968</t>
  </si>
  <si>
    <t>0011</t>
  </si>
  <si>
    <t>092398</t>
  </si>
  <si>
    <t>HEALTH TECHNICIAN</t>
  </si>
  <si>
    <t>131504</t>
  </si>
  <si>
    <t>ASSISTANT PUBLIC HEALTH PREP. COORD.</t>
  </si>
  <si>
    <t>021121</t>
  </si>
  <si>
    <t>PUBLIC HEALTH SPECIALIST</t>
  </si>
  <si>
    <t>115991</t>
  </si>
  <si>
    <t>STRTGC NAT STCKPL COORD PLNNR</t>
  </si>
  <si>
    <t>0018</t>
  </si>
  <si>
    <t>196738</t>
  </si>
  <si>
    <t>0019</t>
  </si>
  <si>
    <t>193984</t>
  </si>
  <si>
    <t>5 / 1</t>
  </si>
  <si>
    <t xml:space="preserve">This schedule was prepared when the grant application was submitted to DSHS on (pending submittal) </t>
  </si>
  <si>
    <t xml:space="preserve">LOCAL MATCH SALARIES / FRINGES: </t>
  </si>
  <si>
    <t>Monthly Average</t>
  </si>
  <si>
    <t xml:space="preserve">Chief Administrative Officer </t>
  </si>
  <si>
    <t>15% of time</t>
  </si>
  <si>
    <t>Director of Operations</t>
  </si>
  <si>
    <t xml:space="preserve">13% of time </t>
  </si>
  <si>
    <t xml:space="preserve">Epidemiologist </t>
  </si>
  <si>
    <t>43% of time</t>
  </si>
  <si>
    <t xml:space="preserve">IT Specialist </t>
  </si>
  <si>
    <t xml:space="preserve">5% of time </t>
  </si>
  <si>
    <t>Budget Manager</t>
  </si>
  <si>
    <t>TOTAL</t>
  </si>
  <si>
    <t xml:space="preserve">Grant Total </t>
  </si>
  <si>
    <t xml:space="preserve">2014 PAYROLL SCHEDULE </t>
  </si>
  <si>
    <t>LOCAL MATCH ($91,146.23)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</si>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</sst>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??_);_(@_)"/>
    <numFmt numFmtId="165" formatCode="0_);\(0\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b/>
      <sz val="14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0000CC"/>
      <name val="Calibri"/>
      <family val="2"/>
      <scheme val="minor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440">
    <xf numFmtId="0" fontId="0" fillId="0" borderId="0" xfId="0"/>
    <xf numFmtId="0" fontId="7" fillId="0" borderId="0" xfId="0" applyFont="1" applyAlignment="1">
      <alignment wrapText="1"/>
    </xf>
    <xf numFmtId="43" fontId="7" fillId="0" borderId="0" xfId="1" applyFont="1" applyAlignment="1">
      <alignment horizontal="center" wrapText="1"/>
    </xf>
    <xf numFmtId="43" fontId="7" fillId="0" borderId="1" xfId="1" applyFont="1" applyBorder="1" applyAlignment="1">
      <alignment horizontal="center" wrapText="1"/>
    </xf>
    <xf numFmtId="165" fontId="7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7" fillId="0" borderId="3" xfId="1" applyFont="1" applyBorder="1" applyAlignment="1">
      <alignment horizontal="center" wrapText="1"/>
    </xf>
    <xf numFmtId="164" fontId="7" fillId="0" borderId="1" xfId="1" applyNumberFormat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43" fontId="3" fillId="0" borderId="1" xfId="1" applyFont="1" applyFill="1" applyBorder="1" applyAlignment="1">
      <alignment horizontal="right"/>
    </xf>
    <xf numFmtId="43" fontId="3" fillId="0" borderId="1" xfId="1" applyFill="1" applyBorder="1"/>
    <xf numFmtId="164" fontId="3" fillId="0" borderId="1" xfId="1" applyNumberFormat="1" applyBorder="1"/>
    <xf numFmtId="41" fontId="3" fillId="0" borderId="1" xfId="1" applyNumberFormat="1" applyBorder="1"/>
    <xf numFmtId="37" fontId="3" fillId="0" borderId="1" xfId="1" applyNumberFormat="1" applyBorder="1"/>
    <xf numFmtId="43" fontId="3" fillId="0" borderId="1" xfId="1" applyBorder="1"/>
    <xf numFmtId="43" fontId="0" fillId="0" borderId="1" xfId="0" applyNumberFormat="1" applyBorder="1"/>
    <xf numFmtId="43" fontId="10" fillId="2" borderId="1" xfId="0" applyNumberFormat="1" applyFont="1" applyFill="1" applyBorder="1"/>
    <xf numFmtId="4" fontId="0" fillId="0" borderId="1" xfId="0" applyNumberFormat="1" applyBorder="1"/>
    <xf numFmtId="43" fontId="0" fillId="0" borderId="3" xfId="0" applyNumberFormat="1" applyBorder="1"/>
    <xf numFmtId="4" fontId="10" fillId="2" borderId="4" xfId="0" applyNumberFormat="1" applyFont="1" applyFill="1" applyBorder="1"/>
    <xf numFmtId="43" fontId="10" fillId="3" borderId="1" xfId="0" applyNumberFormat="1" applyFont="1" applyFill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0" fillId="0" borderId="0" xfId="0" applyFill="1" applyBorder="1"/>
    <xf numFmtId="43" fontId="3" fillId="0" borderId="0" xfId="1" applyFill="1" applyBorder="1"/>
    <xf numFmtId="43" fontId="7" fillId="0" borderId="1" xfId="1" applyFont="1" applyFill="1" applyBorder="1"/>
    <xf numFmtId="49" fontId="7" fillId="0" borderId="0" xfId="0" applyNumberFormat="1" applyFont="1" applyFill="1" applyBorder="1"/>
    <xf numFmtId="49" fontId="11" fillId="0" borderId="0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43" fontId="3" fillId="0" borderId="0" xfId="1"/>
    <xf numFmtId="0" fontId="8" fillId="0" borderId="0" xfId="0" applyFont="1"/>
    <xf numFmtId="0" fontId="0" fillId="4" borderId="0" xfId="0" applyFill="1"/>
    <xf numFmtId="0" fontId="12" fillId="0" borderId="0" xfId="0" applyFont="1"/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0" borderId="5" xfId="0" applyBorder="1"/>
    <xf numFmtId="0" fontId="0" fillId="0" borderId="6" xfId="0" applyBorder="1"/>
    <xf numFmtId="14" fontId="0" fillId="0" borderId="7" xfId="0" applyNumberFormat="1" applyBorder="1"/>
    <xf numFmtId="14" fontId="0" fillId="0" borderId="6" xfId="0" applyNumberFormat="1" applyBorder="1"/>
    <xf numFmtId="0" fontId="0" fillId="2" borderId="6" xfId="0" applyFill="1" applyBorder="1"/>
    <xf numFmtId="0" fontId="13" fillId="2" borderId="6" xfId="0" applyFont="1" applyFill="1" applyBorder="1"/>
    <xf numFmtId="14" fontId="0" fillId="2" borderId="6" xfId="0" applyNumberFormat="1" applyFill="1" applyBorder="1"/>
    <xf numFmtId="0" fontId="0" fillId="0" borderId="8" xfId="0" applyBorder="1"/>
    <xf numFmtId="0" fontId="0" fillId="0" borderId="9" xfId="0" applyBorder="1"/>
    <xf numFmtId="14" fontId="0" fillId="0" borderId="10" xfId="0" applyNumberFormat="1" applyBorder="1"/>
    <xf numFmtId="14" fontId="0" fillId="0" borderId="9" xfId="0" applyNumberFormat="1" applyBorder="1"/>
    <xf numFmtId="0" fontId="0" fillId="2" borderId="9" xfId="0" applyFill="1" applyBorder="1"/>
    <xf numFmtId="0" fontId="13" fillId="2" borderId="9" xfId="0" applyFont="1" applyFill="1" applyBorder="1"/>
    <xf numFmtId="14" fontId="0" fillId="2" borderId="9" xfId="0" applyNumberFormat="1" applyFill="1" applyBorder="1"/>
    <xf numFmtId="0" fontId="0" fillId="0" borderId="8" xfId="0" applyFill="1" applyBorder="1"/>
    <xf numFmtId="0" fontId="0" fillId="0" borderId="9" xfId="0" applyFill="1" applyBorder="1"/>
    <xf numFmtId="14" fontId="0" fillId="0" borderId="10" xfId="0" applyNumberFormat="1" applyFill="1" applyBorder="1"/>
    <xf numFmtId="1" fontId="0" fillId="0" borderId="9" xfId="0" applyNumberFormat="1" applyFill="1" applyBorder="1"/>
    <xf numFmtId="0" fontId="13" fillId="0" borderId="9" xfId="0" applyFont="1" applyFill="1" applyBorder="1"/>
    <xf numFmtId="0" fontId="10" fillId="2" borderId="9" xfId="0" applyFont="1" applyFill="1" applyBorder="1"/>
    <xf numFmtId="0" fontId="14" fillId="0" borderId="0" xfId="0" applyFont="1"/>
    <xf numFmtId="0" fontId="0" fillId="2" borderId="8" xfId="0" applyFill="1" applyBorder="1"/>
    <xf numFmtId="14" fontId="0" fillId="2" borderId="10" xfId="0" applyNumberFormat="1" applyFill="1" applyBorder="1"/>
    <xf numFmtId="1" fontId="0" fillId="2" borderId="9" xfId="0" applyNumberFormat="1" applyFill="1" applyBorder="1"/>
    <xf numFmtId="14" fontId="13" fillId="2" borderId="9" xfId="0" applyNumberFormat="1" applyFont="1" applyFill="1" applyBorder="1"/>
    <xf numFmtId="0" fontId="0" fillId="2" borderId="11" xfId="0" applyFill="1" applyBorder="1"/>
    <xf numFmtId="0" fontId="13" fillId="2" borderId="12" xfId="0" applyFont="1" applyFill="1" applyBorder="1"/>
    <xf numFmtId="14" fontId="0" fillId="2" borderId="13" xfId="0" applyNumberFormat="1" applyFill="1" applyBorder="1"/>
    <xf numFmtId="1" fontId="0" fillId="2" borderId="12" xfId="0" applyNumberFormat="1" applyFill="1" applyBorder="1"/>
    <xf numFmtId="0" fontId="0" fillId="0" borderId="12" xfId="0" applyBorder="1"/>
    <xf numFmtId="0" fontId="15" fillId="0" borderId="0" xfId="0" applyFont="1"/>
    <xf numFmtId="0" fontId="13" fillId="0" borderId="0" xfId="0" applyFont="1"/>
    <xf numFmtId="1" fontId="13" fillId="0" borderId="0" xfId="0" applyNumberFormat="1" applyFont="1"/>
    <xf numFmtId="0" fontId="0" fillId="0" borderId="14" xfId="0" applyBorder="1"/>
    <xf numFmtId="1" fontId="0" fillId="0" borderId="0" xfId="0" applyNumberFormat="1"/>
    <xf numFmtId="0" fontId="0" fillId="0" borderId="0" xfId="0" applyFill="1" applyBorder="1" applyAlignment="1">
      <alignment horizontal="right"/>
    </xf>
    <xf numFmtId="0" fontId="17" fillId="0" borderId="0" xfId="0" applyFont="1"/>
    <xf numFmtId="0" fontId="17" fillId="5" borderId="15" xfId="0" applyFont="1" applyFill="1" applyBorder="1"/>
    <xf numFmtId="3" fontId="8" fillId="0" borderId="0" xfId="0" applyNumberFormat="1" applyFont="1" applyFill="1" applyBorder="1"/>
    <xf numFmtId="0" fontId="8" fillId="0" borderId="0" xfId="0" applyFont="1" applyFill="1" applyBorder="1"/>
    <xf numFmtId="0" fontId="0" fillId="5" borderId="0" xfId="0" applyFill="1"/>
    <xf numFmtId="49" fontId="13" fillId="0" borderId="1" xfId="0" applyNumberFormat="1" applyFont="1" applyBorder="1"/>
    <xf numFmtId="0" fontId="13" fillId="0" borderId="1" xfId="0" applyFont="1" applyBorder="1" applyAlignment="1">
      <alignment wrapText="1"/>
    </xf>
    <xf numFmtId="43" fontId="7" fillId="0" borderId="12" xfId="0" applyNumberFormat="1" applyFont="1" applyFill="1" applyBorder="1"/>
    <xf numFmtId="43" fontId="18" fillId="5" borderId="1" xfId="1" applyFont="1" applyFill="1" applyBorder="1"/>
    <xf numFmtId="43" fontId="18" fillId="6" borderId="1" xfId="1" applyFont="1" applyFill="1" applyBorder="1"/>
    <xf numFmtId="164" fontId="3" fillId="0" borderId="0" xfId="1" applyNumberFormat="1" applyFill="1" applyBorder="1"/>
    <xf numFmtId="43" fontId="7" fillId="0" borderId="0" xfId="0" applyNumberFormat="1" applyFont="1" applyFill="1" applyBorder="1"/>
    <xf numFmtId="43" fontId="7" fillId="7" borderId="1" xfId="1" applyFont="1" applyFill="1" applyBorder="1" applyAlignment="1">
      <alignment horizontal="center" wrapText="1"/>
    </xf>
    <xf numFmtId="43" fontId="3" fillId="7" borderId="1" xfId="1" applyFill="1" applyBorder="1"/>
    <xf numFmtId="43" fontId="7" fillId="7" borderId="1" xfId="0" applyNumberFormat="1" applyFont="1" applyFill="1" applyBorder="1"/>
    <xf numFmtId="164" fontId="7" fillId="7" borderId="1" xfId="1" applyNumberFormat="1" applyFont="1" applyFill="1" applyBorder="1" applyAlignment="1">
      <alignment horizontal="center" wrapText="1"/>
    </xf>
    <xf numFmtId="164" fontId="3" fillId="7" borderId="1" xfId="1" applyNumberFormat="1" applyFill="1" applyBorder="1"/>
    <xf numFmtId="43" fontId="3" fillId="0" borderId="0" xfId="1" applyBorder="1"/>
    <xf numFmtId="0" fontId="0" fillId="0" borderId="0" xfId="0" applyBorder="1"/>
    <xf numFmtId="43" fontId="7" fillId="0" borderId="0" xfId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3" fontId="16" fillId="0" borderId="0" xfId="1" applyFont="1" applyBorder="1" applyAlignment="1"/>
    <xf numFmtId="43" fontId="0" fillId="0" borderId="6" xfId="1" applyFont="1" applyBorder="1"/>
    <xf numFmtId="43" fontId="0" fillId="0" borderId="1" xfId="1" applyFont="1" applyBorder="1"/>
    <xf numFmtId="0" fontId="3" fillId="0" borderId="0" xfId="2"/>
    <xf numFmtId="0" fontId="2" fillId="0" borderId="0" xfId="3"/>
    <xf numFmtId="0" fontId="12" fillId="0" borderId="0" xfId="2" applyFont="1"/>
    <xf numFmtId="0" fontId="7" fillId="0" borderId="0" xfId="2" applyFont="1" applyAlignment="1">
      <alignment wrapText="1"/>
    </xf>
    <xf numFmtId="43" fontId="7" fillId="0" borderId="0" xfId="4" applyFont="1" applyAlignment="1">
      <alignment horizontal="center" wrapText="1"/>
    </xf>
    <xf numFmtId="43" fontId="7" fillId="0" borderId="2" xfId="4" applyFont="1" applyBorder="1" applyAlignment="1">
      <alignment horizontal="center" wrapText="1"/>
    </xf>
    <xf numFmtId="0" fontId="7" fillId="0" borderId="1" xfId="2" applyFont="1" applyBorder="1" applyAlignment="1">
      <alignment horizontal="center"/>
    </xf>
    <xf numFmtId="0" fontId="3" fillId="0" borderId="1" xfId="2" applyBorder="1"/>
    <xf numFmtId="0" fontId="3" fillId="0" borderId="2" xfId="2" applyBorder="1"/>
    <xf numFmtId="0" fontId="7" fillId="0" borderId="2" xfId="2" applyFont="1" applyBorder="1" applyAlignment="1">
      <alignment horizontal="center"/>
    </xf>
    <xf numFmtId="0" fontId="7" fillId="0" borderId="1" xfId="2" applyFont="1" applyBorder="1"/>
    <xf numFmtId="49" fontId="7" fillId="0" borderId="1" xfId="2" applyNumberFormat="1" applyFont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43" fontId="7" fillId="0" borderId="1" xfId="4" applyFont="1" applyBorder="1" applyAlignment="1">
      <alignment horizontal="center" wrapText="1"/>
    </xf>
    <xf numFmtId="43" fontId="7" fillId="0" borderId="3" xfId="4" applyFont="1" applyBorder="1" applyAlignment="1">
      <alignment horizontal="center" wrapText="1"/>
    </xf>
    <xf numFmtId="43" fontId="7" fillId="0" borderId="1" xfId="4" applyFont="1" applyFill="1" applyBorder="1" applyAlignment="1">
      <alignment horizontal="center" wrapText="1"/>
    </xf>
    <xf numFmtId="43" fontId="7" fillId="0" borderId="3" xfId="4" applyFont="1" applyFill="1" applyBorder="1" applyAlignment="1">
      <alignment horizontal="center" wrapText="1"/>
    </xf>
    <xf numFmtId="43" fontId="7" fillId="8" borderId="2" xfId="4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0" fontId="8" fillId="9" borderId="2" xfId="2" applyFont="1" applyFill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wrapText="1"/>
    </xf>
    <xf numFmtId="0" fontId="8" fillId="2" borderId="4" xfId="2" applyFont="1" applyFill="1" applyBorder="1" applyAlignment="1">
      <alignment horizontal="center" wrapText="1"/>
    </xf>
    <xf numFmtId="0" fontId="8" fillId="3" borderId="1" xfId="2" applyFont="1" applyFill="1" applyBorder="1" applyAlignment="1">
      <alignment horizontal="center" wrapText="1"/>
    </xf>
    <xf numFmtId="49" fontId="3" fillId="0" borderId="12" xfId="2" applyNumberFormat="1" applyBorder="1"/>
    <xf numFmtId="0" fontId="2" fillId="0" borderId="1" xfId="3" applyBorder="1"/>
    <xf numFmtId="0" fontId="20" fillId="0" borderId="1" xfId="3" applyFont="1" applyBorder="1" applyAlignment="1">
      <alignment wrapText="1"/>
    </xf>
    <xf numFmtId="43" fontId="13" fillId="0" borderId="1" xfId="4" applyFont="1" applyFill="1" applyBorder="1" applyAlignment="1">
      <alignment horizontal="center"/>
    </xf>
    <xf numFmtId="43" fontId="20" fillId="0" borderId="1" xfId="5" applyFont="1" applyBorder="1"/>
    <xf numFmtId="43" fontId="3" fillId="0" borderId="12" xfId="4" applyFont="1" applyFill="1" applyBorder="1"/>
    <xf numFmtId="43" fontId="3" fillId="8" borderId="1" xfId="4" applyFont="1" applyFill="1" applyBorder="1"/>
    <xf numFmtId="43" fontId="3" fillId="0" borderId="12" xfId="4" applyFill="1" applyBorder="1"/>
    <xf numFmtId="43" fontId="3" fillId="8" borderId="1" xfId="4" applyFill="1" applyBorder="1"/>
    <xf numFmtId="164" fontId="3" fillId="0" borderId="1" xfId="4" applyNumberFormat="1" applyFill="1" applyBorder="1"/>
    <xf numFmtId="37" fontId="3" fillId="0" borderId="1" xfId="4" applyNumberFormat="1" applyBorder="1"/>
    <xf numFmtId="43" fontId="3" fillId="0" borderId="1" xfId="2" applyNumberFormat="1" applyBorder="1"/>
    <xf numFmtId="43" fontId="3" fillId="8" borderId="1" xfId="2" applyNumberFormat="1" applyFill="1" applyBorder="1"/>
    <xf numFmtId="43" fontId="10" fillId="2" borderId="1" xfId="2" applyNumberFormat="1" applyFont="1" applyFill="1" applyBorder="1"/>
    <xf numFmtId="43" fontId="3" fillId="5" borderId="1" xfId="2" applyNumberFormat="1" applyFill="1" applyBorder="1"/>
    <xf numFmtId="43" fontId="10" fillId="9" borderId="1" xfId="2" applyNumberFormat="1" applyFont="1" applyFill="1" applyBorder="1"/>
    <xf numFmtId="4" fontId="3" fillId="0" borderId="1" xfId="2" applyNumberFormat="1" applyBorder="1"/>
    <xf numFmtId="43" fontId="3" fillId="0" borderId="3" xfId="2" applyNumberFormat="1" applyBorder="1"/>
    <xf numFmtId="4" fontId="10" fillId="2" borderId="4" xfId="2" applyNumberFormat="1" applyFont="1" applyFill="1" applyBorder="1"/>
    <xf numFmtId="43" fontId="10" fillId="3" borderId="1" xfId="2" applyNumberFormat="1" applyFont="1" applyFill="1" applyBorder="1"/>
    <xf numFmtId="49" fontId="3" fillId="0" borderId="1" xfId="2" applyNumberFormat="1" applyBorder="1"/>
    <xf numFmtId="43" fontId="3" fillId="0" borderId="1" xfId="4" applyFont="1" applyFill="1" applyBorder="1"/>
    <xf numFmtId="43" fontId="3" fillId="0" borderId="1" xfId="4" applyFill="1" applyBorder="1"/>
    <xf numFmtId="43" fontId="3" fillId="0" borderId="1" xfId="4" applyFont="1" applyFill="1" applyBorder="1" applyAlignment="1">
      <alignment horizontal="right"/>
    </xf>
    <xf numFmtId="49" fontId="13" fillId="0" borderId="1" xfId="4" applyNumberFormat="1" applyFont="1" applyFill="1" applyBorder="1" applyAlignment="1">
      <alignment horizontal="center"/>
    </xf>
    <xf numFmtId="0" fontId="21" fillId="0" borderId="1" xfId="3" applyFont="1" applyBorder="1"/>
    <xf numFmtId="49" fontId="22" fillId="0" borderId="1" xfId="2" applyNumberFormat="1" applyFont="1" applyFill="1" applyBorder="1" applyAlignment="1">
      <alignment wrapText="1"/>
    </xf>
    <xf numFmtId="0" fontId="22" fillId="0" borderId="1" xfId="3" applyFont="1" applyBorder="1" applyAlignment="1">
      <alignment wrapText="1"/>
    </xf>
    <xf numFmtId="49" fontId="13" fillId="0" borderId="0" xfId="4" applyNumberFormat="1" applyFont="1" applyFill="1" applyBorder="1" applyAlignment="1">
      <alignment horizontal="center"/>
    </xf>
    <xf numFmtId="49" fontId="22" fillId="0" borderId="1" xfId="2" applyNumberFormat="1" applyFont="1" applyFill="1" applyBorder="1"/>
    <xf numFmtId="49" fontId="3" fillId="0" borderId="0" xfId="2" applyNumberFormat="1" applyFill="1" applyBorder="1"/>
    <xf numFmtId="49" fontId="3" fillId="0" borderId="0" xfId="2" applyNumberFormat="1" applyFill="1" applyBorder="1" applyAlignment="1">
      <alignment wrapText="1"/>
    </xf>
    <xf numFmtId="43" fontId="7" fillId="0" borderId="1" xfId="2" applyNumberFormat="1" applyFont="1" applyFill="1" applyBorder="1"/>
    <xf numFmtId="43" fontId="7" fillId="8" borderId="1" xfId="2" applyNumberFormat="1" applyFont="1" applyFill="1" applyBorder="1"/>
    <xf numFmtId="0" fontId="3" fillId="0" borderId="0" xfId="2" applyFill="1" applyBorder="1"/>
    <xf numFmtId="164" fontId="3" fillId="0" borderId="0" xfId="4" applyNumberFormat="1" applyFill="1" applyBorder="1"/>
    <xf numFmtId="43" fontId="3" fillId="0" borderId="0" xfId="4" applyFill="1" applyBorder="1"/>
    <xf numFmtId="43" fontId="7" fillId="0" borderId="6" xfId="2" applyNumberFormat="1" applyFont="1" applyFill="1" applyBorder="1"/>
    <xf numFmtId="43" fontId="8" fillId="2" borderId="16" xfId="2" applyNumberFormat="1" applyFont="1" applyFill="1" applyBorder="1"/>
    <xf numFmtId="43" fontId="8" fillId="10" borderId="16" xfId="2" applyNumberFormat="1" applyFont="1" applyFill="1" applyBorder="1"/>
    <xf numFmtId="43" fontId="8" fillId="11" borderId="16" xfId="2" applyNumberFormat="1" applyFont="1" applyFill="1" applyBorder="1"/>
    <xf numFmtId="49" fontId="7" fillId="0" borderId="0" xfId="2" applyNumberFormat="1" applyFont="1" applyFill="1" applyBorder="1"/>
    <xf numFmtId="49" fontId="11" fillId="0" borderId="0" xfId="2" applyNumberFormat="1" applyFont="1" applyFill="1" applyBorder="1"/>
    <xf numFmtId="49" fontId="13" fillId="0" borderId="0" xfId="2" applyNumberFormat="1" applyFont="1" applyFill="1" applyBorder="1"/>
    <xf numFmtId="0" fontId="3" fillId="0" borderId="0" xfId="2" applyFill="1" applyBorder="1" applyAlignment="1">
      <alignment wrapText="1"/>
    </xf>
    <xf numFmtId="0" fontId="13" fillId="0" borderId="0" xfId="2" applyFont="1"/>
    <xf numFmtId="0" fontId="23" fillId="0" borderId="0" xfId="3" applyFont="1"/>
    <xf numFmtId="0" fontId="24" fillId="0" borderId="1" xfId="3" applyFont="1" applyBorder="1" applyAlignment="1">
      <alignment wrapText="1"/>
    </xf>
    <xf numFmtId="49" fontId="13" fillId="0" borderId="1" xfId="2" applyNumberFormat="1" applyFont="1" applyFill="1" applyBorder="1"/>
    <xf numFmtId="43" fontId="8" fillId="0" borderId="1" xfId="2" applyNumberFormat="1" applyFont="1" applyFill="1" applyBorder="1"/>
    <xf numFmtId="43" fontId="7" fillId="0" borderId="15" xfId="2" applyNumberFormat="1" applyFont="1" applyBorder="1"/>
    <xf numFmtId="43" fontId="7" fillId="0" borderId="17" xfId="2" applyNumberFormat="1" applyFont="1" applyBorder="1"/>
    <xf numFmtId="43" fontId="18" fillId="5" borderId="1" xfId="2" applyNumberFormat="1" applyFont="1" applyFill="1" applyBorder="1"/>
    <xf numFmtId="43" fontId="8" fillId="3" borderId="16" xfId="2" applyNumberFormat="1" applyFont="1" applyFill="1" applyBorder="1"/>
    <xf numFmtId="9" fontId="3" fillId="8" borderId="1" xfId="2" applyNumberFormat="1" applyFill="1" applyBorder="1"/>
    <xf numFmtId="43" fontId="19" fillId="0" borderId="0" xfId="3" applyNumberFormat="1" applyFont="1"/>
    <xf numFmtId="4" fontId="19" fillId="0" borderId="1" xfId="3" applyNumberFormat="1" applyFont="1" applyBorder="1"/>
    <xf numFmtId="43" fontId="25" fillId="0" borderId="0" xfId="3" applyNumberFormat="1" applyFont="1"/>
    <xf numFmtId="43" fontId="19" fillId="5" borderId="1" xfId="3" applyNumberFormat="1" applyFont="1" applyFill="1" applyBorder="1"/>
    <xf numFmtId="43" fontId="2" fillId="0" borderId="0" xfId="3" applyNumberFormat="1"/>
    <xf numFmtId="43" fontId="2" fillId="0" borderId="14" xfId="3" applyNumberFormat="1" applyBorder="1"/>
    <xf numFmtId="43" fontId="25" fillId="5" borderId="0" xfId="3" applyNumberFormat="1" applyFont="1" applyFill="1"/>
    <xf numFmtId="43" fontId="7" fillId="8" borderId="1" xfId="4" applyFont="1" applyFill="1" applyBorder="1" applyAlignment="1">
      <alignment horizontal="center" wrapText="1"/>
    </xf>
    <xf numFmtId="0" fontId="3" fillId="0" borderId="12" xfId="2" applyBorder="1" applyAlignment="1">
      <alignment wrapText="1"/>
    </xf>
    <xf numFmtId="43" fontId="3" fillId="0" borderId="12" xfId="4" applyFont="1" applyFill="1" applyBorder="1" applyAlignment="1">
      <alignment horizontal="center"/>
    </xf>
    <xf numFmtId="43" fontId="0" fillId="5" borderId="1" xfId="4" applyFont="1" applyFill="1" applyBorder="1"/>
    <xf numFmtId="43" fontId="3" fillId="5" borderId="1" xfId="4" applyFont="1" applyFill="1" applyBorder="1"/>
    <xf numFmtId="43" fontId="3" fillId="5" borderId="1" xfId="4" applyFill="1" applyBorder="1"/>
    <xf numFmtId="0" fontId="3" fillId="0" borderId="1" xfId="2" applyBorder="1" applyAlignment="1">
      <alignment wrapText="1"/>
    </xf>
    <xf numFmtId="43" fontId="3" fillId="5" borderId="1" xfId="4" applyFont="1" applyFill="1" applyBorder="1" applyAlignment="1">
      <alignment horizontal="right"/>
    </xf>
    <xf numFmtId="49" fontId="3" fillId="0" borderId="1" xfId="4" applyNumberFormat="1" applyFont="1" applyFill="1" applyBorder="1" applyAlignment="1">
      <alignment horizontal="center"/>
    </xf>
    <xf numFmtId="43" fontId="8" fillId="2" borderId="15" xfId="2" applyNumberFormat="1" applyFont="1" applyFill="1" applyBorder="1"/>
    <xf numFmtId="43" fontId="8" fillId="9" borderId="1" xfId="2" applyNumberFormat="1" applyFont="1" applyFill="1" applyBorder="1"/>
    <xf numFmtId="43" fontId="7" fillId="0" borderId="1" xfId="2" applyNumberFormat="1" applyFont="1" applyBorder="1"/>
    <xf numFmtId="43" fontId="3" fillId="0" borderId="0" xfId="5" applyFont="1"/>
    <xf numFmtId="43" fontId="7" fillId="8" borderId="6" xfId="2" applyNumberFormat="1" applyFont="1" applyFill="1" applyBorder="1"/>
    <xf numFmtId="49" fontId="0" fillId="0" borderId="1" xfId="2" applyNumberFormat="1" applyFont="1" applyFill="1" applyBorder="1" applyAlignment="1">
      <alignment wrapText="1"/>
    </xf>
    <xf numFmtId="49" fontId="0" fillId="0" borderId="1" xfId="2" applyNumberFormat="1" applyFont="1" applyFill="1" applyBorder="1"/>
    <xf numFmtId="0" fontId="22" fillId="0" borderId="12" xfId="0" applyFont="1" applyBorder="1" applyAlignment="1" applyProtection="1">
      <alignment horizontal="left" vertical="center" wrapText="1"/>
      <protection locked="0"/>
    </xf>
    <xf numFmtId="0" fontId="13" fillId="0" borderId="0" xfId="6"/>
    <xf numFmtId="43" fontId="13" fillId="0" borderId="0" xfId="7"/>
    <xf numFmtId="0" fontId="13" fillId="0" borderId="14" xfId="6" applyBorder="1"/>
    <xf numFmtId="0" fontId="7" fillId="0" borderId="0" xfId="6" applyFont="1" applyAlignment="1">
      <alignment wrapText="1"/>
    </xf>
    <xf numFmtId="43" fontId="7" fillId="0" borderId="0" xfId="7" applyFont="1" applyAlignment="1">
      <alignment horizontal="center" wrapText="1"/>
    </xf>
    <xf numFmtId="165" fontId="7" fillId="0" borderId="1" xfId="7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/>
    </xf>
    <xf numFmtId="49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43" fontId="7" fillId="0" borderId="1" xfId="7" applyFont="1" applyBorder="1" applyAlignment="1">
      <alignment horizontal="center" wrapText="1"/>
    </xf>
    <xf numFmtId="43" fontId="7" fillId="0" borderId="3" xfId="7" applyFont="1" applyFill="1" applyBorder="1" applyAlignment="1">
      <alignment horizontal="center" wrapText="1"/>
    </xf>
    <xf numFmtId="43" fontId="7" fillId="0" borderId="1" xfId="7" applyFont="1" applyFill="1" applyBorder="1" applyAlignment="1">
      <alignment horizontal="center" wrapText="1"/>
    </xf>
    <xf numFmtId="43" fontId="7" fillId="0" borderId="3" xfId="7" applyFont="1" applyBorder="1" applyAlignment="1">
      <alignment horizontal="center" wrapText="1"/>
    </xf>
    <xf numFmtId="164" fontId="7" fillId="0" borderId="1" xfId="7" applyNumberFormat="1" applyFont="1" applyBorder="1" applyAlignment="1">
      <alignment horizontal="center" wrapText="1"/>
    </xf>
    <xf numFmtId="0" fontId="7" fillId="0" borderId="2" xfId="6" applyFont="1" applyBorder="1" applyAlignment="1">
      <alignment horizontal="center" wrapText="1"/>
    </xf>
    <xf numFmtId="0" fontId="13" fillId="0" borderId="3" xfId="6" applyFont="1" applyBorder="1" applyAlignment="1">
      <alignment horizontal="center" wrapText="1"/>
    </xf>
    <xf numFmtId="0" fontId="7" fillId="0" borderId="1" xfId="6" applyFont="1" applyFill="1" applyBorder="1" applyAlignment="1">
      <alignment horizontal="center" wrapText="1"/>
    </xf>
    <xf numFmtId="43" fontId="7" fillId="2" borderId="1" xfId="7" applyFont="1" applyFill="1" applyBorder="1" applyAlignment="1">
      <alignment horizontal="center" wrapText="1"/>
    </xf>
    <xf numFmtId="0" fontId="13" fillId="0" borderId="1" xfId="6" applyFont="1" applyBorder="1" applyAlignment="1">
      <alignment horizontal="center" wrapText="1"/>
    </xf>
    <xf numFmtId="49" fontId="13" fillId="0" borderId="12" xfId="6" applyNumberFormat="1" applyBorder="1"/>
    <xf numFmtId="49" fontId="13" fillId="0" borderId="12" xfId="6" applyNumberFormat="1" applyFill="1" applyBorder="1"/>
    <xf numFmtId="0" fontId="13" fillId="0" borderId="12" xfId="6" applyBorder="1"/>
    <xf numFmtId="43" fontId="13" fillId="0" borderId="11" xfId="7" applyFill="1" applyBorder="1"/>
    <xf numFmtId="43" fontId="13" fillId="7" borderId="1" xfId="7" applyFont="1" applyFill="1" applyBorder="1"/>
    <xf numFmtId="43" fontId="13" fillId="0" borderId="1" xfId="7" applyFill="1" applyBorder="1"/>
    <xf numFmtId="164" fontId="13" fillId="0" borderId="1" xfId="7" applyNumberFormat="1" applyFill="1" applyBorder="1"/>
    <xf numFmtId="164" fontId="13" fillId="0" borderId="1" xfId="7" applyNumberFormat="1" applyBorder="1"/>
    <xf numFmtId="41" fontId="13" fillId="0" borderId="1" xfId="7" applyNumberFormat="1" applyBorder="1"/>
    <xf numFmtId="37" fontId="13" fillId="0" borderId="1" xfId="7" applyNumberFormat="1" applyBorder="1"/>
    <xf numFmtId="43" fontId="13" fillId="0" borderId="1" xfId="7" applyBorder="1"/>
    <xf numFmtId="43" fontId="13" fillId="0" borderId="1" xfId="6" applyNumberFormat="1" applyBorder="1"/>
    <xf numFmtId="43" fontId="13" fillId="0" borderId="3" xfId="7" applyFill="1" applyBorder="1"/>
    <xf numFmtId="43" fontId="13" fillId="2" borderId="1" xfId="7" applyFill="1" applyBorder="1"/>
    <xf numFmtId="43" fontId="13" fillId="0" borderId="3" xfId="6" applyNumberFormat="1" applyBorder="1"/>
    <xf numFmtId="49" fontId="13" fillId="0" borderId="1" xfId="6" applyNumberFormat="1" applyBorder="1"/>
    <xf numFmtId="49" fontId="13" fillId="0" borderId="1" xfId="6" applyNumberFormat="1" applyFill="1" applyBorder="1"/>
    <xf numFmtId="0" fontId="13" fillId="0" borderId="1" xfId="6" applyBorder="1"/>
    <xf numFmtId="43" fontId="0" fillId="0" borderId="0" xfId="7" applyFont="1"/>
    <xf numFmtId="43" fontId="13" fillId="0" borderId="4" xfId="7" applyFill="1" applyBorder="1"/>
    <xf numFmtId="49" fontId="13" fillId="0" borderId="1" xfId="6" applyNumberFormat="1" applyFont="1" applyFill="1" applyBorder="1"/>
    <xf numFmtId="49" fontId="13" fillId="7" borderId="1" xfId="6" applyNumberFormat="1" applyFill="1" applyBorder="1"/>
    <xf numFmtId="43" fontId="13" fillId="7" borderId="1" xfId="7" applyFill="1" applyBorder="1"/>
    <xf numFmtId="49" fontId="13" fillId="0" borderId="1" xfId="6" applyNumberFormat="1" applyFont="1" applyBorder="1"/>
    <xf numFmtId="0" fontId="13" fillId="0" borderId="3" xfId="6" applyBorder="1"/>
    <xf numFmtId="49" fontId="7" fillId="0" borderId="18" xfId="6" applyNumberFormat="1" applyFont="1" applyBorder="1"/>
    <xf numFmtId="0" fontId="7" fillId="0" borderId="18" xfId="6" applyFont="1" applyBorder="1"/>
    <xf numFmtId="43" fontId="13" fillId="0" borderId="18" xfId="7" applyFill="1" applyBorder="1"/>
    <xf numFmtId="43" fontId="13" fillId="0" borderId="18" xfId="7" applyBorder="1"/>
    <xf numFmtId="49" fontId="7" fillId="0" borderId="3" xfId="6" applyNumberFormat="1" applyFont="1" applyBorder="1"/>
    <xf numFmtId="0" fontId="7" fillId="0" borderId="3" xfId="6" applyFont="1" applyBorder="1"/>
    <xf numFmtId="43" fontId="7" fillId="3" borderId="3" xfId="6" applyNumberFormat="1" applyFont="1" applyFill="1" applyBorder="1"/>
    <xf numFmtId="43" fontId="7" fillId="12" borderId="4" xfId="6" applyNumberFormat="1" applyFont="1" applyFill="1" applyBorder="1"/>
    <xf numFmtId="43" fontId="7" fillId="12" borderId="1" xfId="6" applyNumberFormat="1" applyFont="1" applyFill="1" applyBorder="1"/>
    <xf numFmtId="49" fontId="13" fillId="0" borderId="0" xfId="6" applyNumberFormat="1" applyFont="1" applyBorder="1"/>
    <xf numFmtId="49" fontId="13" fillId="0" borderId="0" xfId="6" applyNumberFormat="1" applyBorder="1"/>
    <xf numFmtId="0" fontId="13" fillId="0" borderId="0" xfId="6" applyBorder="1"/>
    <xf numFmtId="43" fontId="13" fillId="0" borderId="0" xfId="7" applyBorder="1"/>
    <xf numFmtId="49" fontId="13" fillId="0" borderId="3" xfId="6" applyNumberFormat="1" applyFont="1" applyBorder="1"/>
    <xf numFmtId="49" fontId="13" fillId="0" borderId="3" xfId="6" applyNumberFormat="1" applyBorder="1"/>
    <xf numFmtId="43" fontId="13" fillId="0" borderId="3" xfId="7" applyBorder="1"/>
    <xf numFmtId="0" fontId="13" fillId="0" borderId="0" xfId="6" applyFill="1" applyBorder="1"/>
    <xf numFmtId="43" fontId="13" fillId="0" borderId="0" xfId="7" applyFill="1" applyBorder="1"/>
    <xf numFmtId="49" fontId="13" fillId="0" borderId="0" xfId="6" applyNumberFormat="1" applyFill="1" applyBorder="1"/>
    <xf numFmtId="0" fontId="13" fillId="0" borderId="3" xfId="6" applyFill="1" applyBorder="1"/>
    <xf numFmtId="43" fontId="7" fillId="5" borderId="15" xfId="6" applyNumberFormat="1" applyFont="1" applyFill="1" applyBorder="1"/>
    <xf numFmtId="49" fontId="11" fillId="0" borderId="0" xfId="6" applyNumberFormat="1" applyFont="1" applyFill="1" applyBorder="1"/>
    <xf numFmtId="0" fontId="13" fillId="0" borderId="0" xfId="6" applyFont="1"/>
    <xf numFmtId="49" fontId="13" fillId="0" borderId="0" xfId="6" applyNumberFormat="1" applyFont="1" applyFill="1" applyBorder="1"/>
    <xf numFmtId="43" fontId="13" fillId="0" borderId="0" xfId="7" applyFont="1"/>
    <xf numFmtId="49" fontId="7" fillId="0" borderId="0" xfId="6" applyNumberFormat="1" applyFont="1" applyFill="1" applyBorder="1"/>
    <xf numFmtId="0" fontId="7" fillId="0" borderId="0" xfId="6" applyFont="1" applyFill="1" applyBorder="1"/>
    <xf numFmtId="0" fontId="7" fillId="0" borderId="0" xfId="6" applyFont="1"/>
    <xf numFmtId="43" fontId="18" fillId="5" borderId="15" xfId="6" applyNumberFormat="1" applyFont="1" applyFill="1" applyBorder="1"/>
    <xf numFmtId="43" fontId="18" fillId="5" borderId="3" xfId="6" applyNumberFormat="1" applyFont="1" applyFill="1" applyBorder="1"/>
    <xf numFmtId="43" fontId="18" fillId="5" borderId="0" xfId="7" applyFont="1" applyFill="1"/>
    <xf numFmtId="43" fontId="18" fillId="0" borderId="0" xfId="7" applyFont="1" applyFill="1"/>
    <xf numFmtId="43" fontId="22" fillId="5" borderId="15" xfId="6" applyNumberFormat="1" applyFont="1" applyFill="1" applyBorder="1"/>
    <xf numFmtId="43" fontId="18" fillId="0" borderId="0" xfId="7" applyFont="1" applyFill="1" applyBorder="1"/>
    <xf numFmtId="43" fontId="18" fillId="0" borderId="14" xfId="7" applyFont="1" applyFill="1" applyBorder="1"/>
    <xf numFmtId="43" fontId="13" fillId="0" borderId="0" xfId="6" applyNumberFormat="1"/>
    <xf numFmtId="43" fontId="13" fillId="13" borderId="0" xfId="7" applyFill="1"/>
    <xf numFmtId="0" fontId="13" fillId="13" borderId="0" xfId="6" applyFill="1"/>
    <xf numFmtId="43" fontId="13" fillId="0" borderId="14" xfId="6" applyNumberFormat="1" applyBorder="1"/>
    <xf numFmtId="43" fontId="13" fillId="0" borderId="15" xfId="6" applyNumberFormat="1" applyBorder="1"/>
    <xf numFmtId="0" fontId="13" fillId="0" borderId="0" xfId="8"/>
    <xf numFmtId="0" fontId="12" fillId="0" borderId="0" xfId="8" applyFont="1"/>
    <xf numFmtId="0" fontId="7" fillId="0" borderId="0" xfId="8" applyFont="1" applyAlignment="1">
      <alignment wrapText="1"/>
    </xf>
    <xf numFmtId="43" fontId="7" fillId="0" borderId="0" xfId="9" applyFont="1" applyAlignment="1">
      <alignment horizontal="center" wrapText="1"/>
    </xf>
    <xf numFmtId="43" fontId="7" fillId="0" borderId="2" xfId="9" applyFont="1" applyBorder="1" applyAlignment="1">
      <alignment horizontal="center" wrapText="1"/>
    </xf>
    <xf numFmtId="0" fontId="7" fillId="0" borderId="1" xfId="8" applyFont="1" applyBorder="1" applyAlignment="1">
      <alignment horizontal="center"/>
    </xf>
    <xf numFmtId="0" fontId="13" fillId="0" borderId="1" xfId="8" applyBorder="1"/>
    <xf numFmtId="0" fontId="7" fillId="0" borderId="2" xfId="8" applyFont="1" applyBorder="1" applyAlignment="1">
      <alignment horizontal="center"/>
    </xf>
    <xf numFmtId="0" fontId="7" fillId="0" borderId="1" xfId="8" applyFont="1" applyBorder="1"/>
    <xf numFmtId="49" fontId="7" fillId="0" borderId="1" xfId="8" applyNumberFormat="1" applyFont="1" applyBorder="1" applyAlignment="1">
      <alignment horizontal="center" wrapText="1"/>
    </xf>
    <xf numFmtId="0" fontId="7" fillId="0" borderId="1" xfId="8" applyFont="1" applyBorder="1" applyAlignment="1">
      <alignment horizontal="center" wrapText="1"/>
    </xf>
    <xf numFmtId="43" fontId="7" fillId="0" borderId="1" xfId="9" applyFont="1" applyBorder="1" applyAlignment="1">
      <alignment horizontal="center" wrapText="1"/>
    </xf>
    <xf numFmtId="43" fontId="7" fillId="0" borderId="3" xfId="9" applyFont="1" applyBorder="1" applyAlignment="1">
      <alignment horizontal="center" wrapText="1"/>
    </xf>
    <xf numFmtId="43" fontId="7" fillId="0" borderId="1" xfId="9" applyFont="1" applyFill="1" applyBorder="1" applyAlignment="1">
      <alignment horizontal="center" wrapText="1"/>
    </xf>
    <xf numFmtId="43" fontId="7" fillId="0" borderId="3" xfId="9" applyFont="1" applyFill="1" applyBorder="1" applyAlignment="1">
      <alignment horizontal="center" wrapText="1"/>
    </xf>
    <xf numFmtId="0" fontId="8" fillId="2" borderId="2" xfId="8" applyFont="1" applyFill="1" applyBorder="1" applyAlignment="1">
      <alignment horizontal="center" wrapText="1"/>
    </xf>
    <xf numFmtId="0" fontId="9" fillId="0" borderId="1" xfId="8" applyFont="1" applyBorder="1" applyAlignment="1">
      <alignment horizontal="center" wrapText="1"/>
    </xf>
    <xf numFmtId="0" fontId="7" fillId="0" borderId="2" xfId="8" applyFont="1" applyFill="1" applyBorder="1" applyAlignment="1">
      <alignment horizontal="center" wrapText="1"/>
    </xf>
    <xf numFmtId="0" fontId="7" fillId="0" borderId="1" xfId="8" applyFont="1" applyFill="1" applyBorder="1" applyAlignment="1">
      <alignment horizontal="center" wrapText="1"/>
    </xf>
    <xf numFmtId="0" fontId="8" fillId="2" borderId="4" xfId="8" applyFont="1" applyFill="1" applyBorder="1" applyAlignment="1">
      <alignment horizontal="center" wrapText="1"/>
    </xf>
    <xf numFmtId="0" fontId="8" fillId="3" borderId="1" xfId="8" applyFont="1" applyFill="1" applyBorder="1" applyAlignment="1">
      <alignment horizontal="center" wrapText="1"/>
    </xf>
    <xf numFmtId="49" fontId="13" fillId="0" borderId="12" xfId="8" applyNumberFormat="1" applyBorder="1"/>
    <xf numFmtId="49" fontId="13" fillId="0" borderId="12" xfId="8" applyNumberFormat="1" applyFill="1" applyBorder="1"/>
    <xf numFmtId="43" fontId="20" fillId="0" borderId="1" xfId="9" applyFont="1" applyBorder="1"/>
    <xf numFmtId="43" fontId="13" fillId="0" borderId="12" xfId="9" applyFill="1" applyBorder="1"/>
    <xf numFmtId="43" fontId="13" fillId="0" borderId="1" xfId="9" applyFill="1" applyBorder="1"/>
    <xf numFmtId="164" fontId="13" fillId="0" borderId="1" xfId="9" applyNumberFormat="1" applyFill="1" applyBorder="1"/>
    <xf numFmtId="37" fontId="13" fillId="0" borderId="1" xfId="9" applyNumberFormat="1" applyBorder="1"/>
    <xf numFmtId="43" fontId="13" fillId="0" borderId="1" xfId="8" applyNumberFormat="1" applyBorder="1"/>
    <xf numFmtId="43" fontId="10" fillId="0" borderId="1" xfId="8" applyNumberFormat="1" applyFont="1" applyFill="1" applyBorder="1"/>
    <xf numFmtId="4" fontId="13" fillId="0" borderId="1" xfId="8" applyNumberFormat="1" applyBorder="1"/>
    <xf numFmtId="43" fontId="13" fillId="0" borderId="3" xfId="8" applyNumberFormat="1" applyBorder="1"/>
    <xf numFmtId="4" fontId="10" fillId="2" borderId="4" xfId="8" applyNumberFormat="1" applyFont="1" applyFill="1" applyBorder="1"/>
    <xf numFmtId="43" fontId="10" fillId="3" borderId="1" xfId="8" applyNumberFormat="1" applyFont="1" applyFill="1" applyBorder="1"/>
    <xf numFmtId="49" fontId="13" fillId="0" borderId="1" xfId="8" applyNumberFormat="1" applyBorder="1"/>
    <xf numFmtId="49" fontId="13" fillId="0" borderId="1" xfId="8" applyNumberFormat="1" applyFill="1" applyBorder="1"/>
    <xf numFmtId="43" fontId="13" fillId="0" borderId="1" xfId="9" applyFont="1" applyFill="1" applyBorder="1" applyAlignment="1">
      <alignment horizontal="center"/>
    </xf>
    <xf numFmtId="49" fontId="13" fillId="0" borderId="1" xfId="9" applyNumberFormat="1" applyFont="1" applyFill="1" applyBorder="1" applyAlignment="1">
      <alignment horizontal="center"/>
    </xf>
    <xf numFmtId="43" fontId="10" fillId="2" borderId="1" xfId="8" applyNumberFormat="1" applyFont="1" applyFill="1" applyBorder="1"/>
    <xf numFmtId="49" fontId="13" fillId="0" borderId="0" xfId="8" applyNumberFormat="1" applyFill="1" applyBorder="1"/>
    <xf numFmtId="49" fontId="13" fillId="0" borderId="0" xfId="8" applyNumberFormat="1" applyFill="1" applyBorder="1" applyAlignment="1">
      <alignment wrapText="1"/>
    </xf>
    <xf numFmtId="43" fontId="7" fillId="0" borderId="1" xfId="8" applyNumberFormat="1" applyFont="1" applyFill="1" applyBorder="1"/>
    <xf numFmtId="0" fontId="13" fillId="0" borderId="0" xfId="8" applyFill="1" applyBorder="1"/>
    <xf numFmtId="164" fontId="13" fillId="0" borderId="0" xfId="9" applyNumberFormat="1" applyFill="1" applyBorder="1"/>
    <xf numFmtId="43" fontId="13" fillId="0" borderId="0" xfId="9" applyFill="1" applyBorder="1"/>
    <xf numFmtId="43" fontId="8" fillId="2" borderId="16" xfId="8" applyNumberFormat="1" applyFont="1" applyFill="1" applyBorder="1"/>
    <xf numFmtId="43" fontId="7" fillId="0" borderId="15" xfId="8" applyNumberFormat="1" applyFont="1" applyBorder="1"/>
    <xf numFmtId="43" fontId="7" fillId="0" borderId="17" xfId="8" applyNumberFormat="1" applyFont="1" applyBorder="1"/>
    <xf numFmtId="43" fontId="7" fillId="0" borderId="1" xfId="8" applyNumberFormat="1" applyFont="1" applyBorder="1"/>
    <xf numFmtId="43" fontId="18" fillId="5" borderId="1" xfId="8" applyNumberFormat="1" applyFont="1" applyFill="1" applyBorder="1"/>
    <xf numFmtId="43" fontId="8" fillId="3" borderId="16" xfId="8" applyNumberFormat="1" applyFont="1" applyFill="1" applyBorder="1"/>
    <xf numFmtId="49" fontId="7" fillId="0" borderId="0" xfId="8" applyNumberFormat="1" applyFont="1" applyFill="1" applyBorder="1"/>
    <xf numFmtId="49" fontId="11" fillId="0" borderId="0" xfId="8" applyNumberFormat="1" applyFont="1" applyFill="1" applyBorder="1"/>
    <xf numFmtId="49" fontId="13" fillId="0" borderId="0" xfId="8" applyNumberFormat="1" applyFont="1" applyFill="1" applyBorder="1"/>
    <xf numFmtId="0" fontId="13" fillId="0" borderId="0" xfId="8" applyFill="1" applyBorder="1" applyAlignment="1">
      <alignment wrapText="1"/>
    </xf>
    <xf numFmtId="0" fontId="13" fillId="0" borderId="0" xfId="8" applyFont="1"/>
    <xf numFmtId="0" fontId="18" fillId="0" borderId="0" xfId="3" applyFont="1" applyBorder="1"/>
    <xf numFmtId="0" fontId="2" fillId="0" borderId="0" xfId="3" applyBorder="1"/>
    <xf numFmtId="43" fontId="13" fillId="0" borderId="1" xfId="9" applyFont="1" applyBorder="1" applyAlignment="1">
      <alignment wrapText="1"/>
    </xf>
    <xf numFmtId="43" fontId="13" fillId="0" borderId="0" xfId="9" applyBorder="1"/>
    <xf numFmtId="37" fontId="13" fillId="0" borderId="0" xfId="9" applyNumberFormat="1" applyBorder="1"/>
    <xf numFmtId="43" fontId="0" fillId="0" borderId="0" xfId="9" applyFont="1" applyBorder="1"/>
    <xf numFmtId="43" fontId="0" fillId="0" borderId="0" xfId="9" applyFont="1"/>
    <xf numFmtId="49" fontId="13" fillId="0" borderId="1" xfId="3" applyNumberFormat="1" applyFont="1" applyBorder="1" applyAlignment="1">
      <alignment wrapText="1"/>
    </xf>
    <xf numFmtId="0" fontId="13" fillId="0" borderId="1" xfId="3" applyFont="1" applyBorder="1" applyAlignment="1">
      <alignment wrapText="1"/>
    </xf>
    <xf numFmtId="0" fontId="2" fillId="0" borderId="1" xfId="3" applyBorder="1" applyAlignment="1">
      <alignment wrapText="1"/>
    </xf>
    <xf numFmtId="43" fontId="13" fillId="0" borderId="1" xfId="9" applyBorder="1"/>
    <xf numFmtId="43" fontId="13" fillId="5" borderId="1" xfId="9" applyFont="1" applyFill="1" applyBorder="1"/>
    <xf numFmtId="43" fontId="0" fillId="0" borderId="1" xfId="9" applyFont="1" applyBorder="1"/>
    <xf numFmtId="4" fontId="2" fillId="0" borderId="1" xfId="3" applyNumberFormat="1" applyBorder="1"/>
    <xf numFmtId="4" fontId="2" fillId="5" borderId="4" xfId="3" applyNumberFormat="1" applyFill="1" applyBorder="1"/>
    <xf numFmtId="43" fontId="2" fillId="0" borderId="1" xfId="3" applyNumberFormat="1" applyBorder="1"/>
    <xf numFmtId="0" fontId="2" fillId="0" borderId="1" xfId="3" applyFill="1" applyBorder="1"/>
    <xf numFmtId="37" fontId="13" fillId="0" borderId="1" xfId="9" applyNumberFormat="1" applyFill="1" applyBorder="1"/>
    <xf numFmtId="49" fontId="2" fillId="0" borderId="1" xfId="3" applyNumberFormat="1" applyFill="1" applyBorder="1"/>
    <xf numFmtId="43" fontId="0" fillId="0" borderId="1" xfId="5" applyFont="1" applyFill="1" applyBorder="1"/>
    <xf numFmtId="49" fontId="2" fillId="0" borderId="0" xfId="3" applyNumberFormat="1" applyFill="1" applyBorder="1"/>
    <xf numFmtId="0" fontId="2" fillId="0" borderId="0" xfId="3" applyFill="1" applyBorder="1"/>
    <xf numFmtId="49" fontId="26" fillId="0" borderId="6" xfId="3" applyNumberFormat="1" applyFont="1" applyFill="1" applyBorder="1"/>
    <xf numFmtId="43" fontId="18" fillId="5" borderId="16" xfId="9" applyFont="1" applyFill="1" applyBorder="1"/>
    <xf numFmtId="43" fontId="7" fillId="0" borderId="1" xfId="9" applyFont="1" applyBorder="1"/>
    <xf numFmtId="49" fontId="2" fillId="0" borderId="0" xfId="3" applyNumberFormat="1" applyFill="1" applyBorder="1" applyAlignment="1">
      <alignment wrapText="1"/>
    </xf>
    <xf numFmtId="43" fontId="18" fillId="5" borderId="16" xfId="3" applyNumberFormat="1" applyFont="1" applyFill="1" applyBorder="1"/>
    <xf numFmtId="43" fontId="18" fillId="8" borderId="16" xfId="2" applyNumberFormat="1" applyFont="1" applyFill="1" applyBorder="1"/>
    <xf numFmtId="49" fontId="17" fillId="5" borderId="1" xfId="2" applyNumberFormat="1" applyFont="1" applyFill="1" applyBorder="1"/>
    <xf numFmtId="0" fontId="2" fillId="0" borderId="0" xfId="3" applyFill="1"/>
    <xf numFmtId="49" fontId="0" fillId="0" borderId="12" xfId="2" applyNumberFormat="1" applyFont="1" applyFill="1" applyBorder="1"/>
    <xf numFmtId="43" fontId="7" fillId="5" borderId="0" xfId="6" applyNumberFormat="1" applyFont="1" applyFill="1" applyBorder="1"/>
    <xf numFmtId="49" fontId="0" fillId="5" borderId="1" xfId="2" applyNumberFormat="1" applyFont="1" applyFill="1" applyBorder="1"/>
    <xf numFmtId="0" fontId="1" fillId="0" borderId="0" xfId="3" applyFont="1"/>
    <xf numFmtId="0" fontId="1" fillId="0" borderId="1" xfId="3" applyFont="1" applyBorder="1"/>
    <xf numFmtId="0" fontId="1" fillId="0" borderId="1" xfId="3" applyFont="1" applyFill="1" applyBorder="1"/>
    <xf numFmtId="49" fontId="1" fillId="0" borderId="1" xfId="3" applyNumberFormat="1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7" fillId="0" borderId="4" xfId="1" applyFont="1" applyBorder="1" applyAlignment="1">
      <alignment horizontal="center" wrapText="1"/>
    </xf>
    <xf numFmtId="43" fontId="7" fillId="0" borderId="2" xfId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3" fontId="7" fillId="0" borderId="0" xfId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7" fillId="0" borderId="4" xfId="4" applyFont="1" applyBorder="1" applyAlignment="1">
      <alignment horizontal="center" wrapText="1"/>
    </xf>
    <xf numFmtId="43" fontId="7" fillId="0" borderId="2" xfId="4" applyFont="1" applyBorder="1" applyAlignment="1">
      <alignment horizontal="center" wrapText="1"/>
    </xf>
    <xf numFmtId="0" fontId="7" fillId="0" borderId="4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3" fillId="0" borderId="0" xfId="2" applyBorder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6" applyFont="1" applyBorder="1" applyAlignment="1">
      <alignment horizontal="center"/>
    </xf>
    <xf numFmtId="43" fontId="7" fillId="0" borderId="4" xfId="7" applyFont="1" applyBorder="1" applyAlignment="1">
      <alignment horizontal="center" wrapText="1"/>
    </xf>
    <xf numFmtId="43" fontId="7" fillId="0" borderId="2" xfId="7" applyFont="1" applyBorder="1" applyAlignment="1">
      <alignment horizontal="center" wrapText="1"/>
    </xf>
    <xf numFmtId="0" fontId="7" fillId="0" borderId="4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5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49" fontId="13" fillId="0" borderId="0" xfId="3" applyNumberFormat="1" applyFont="1" applyBorder="1" applyAlignment="1">
      <alignment wrapText="1"/>
    </xf>
    <xf numFmtId="0" fontId="2" fillId="0" borderId="0" xfId="3" applyBorder="1" applyAlignment="1">
      <alignment wrapText="1"/>
    </xf>
    <xf numFmtId="49" fontId="2" fillId="0" borderId="0" xfId="3" applyNumberFormat="1" applyBorder="1" applyAlignment="1">
      <alignment wrapText="1"/>
    </xf>
    <xf numFmtId="49" fontId="26" fillId="0" borderId="1" xfId="3" applyNumberFormat="1" applyFont="1" applyFill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13" fillId="0" borderId="0" xfId="8" applyBorder="1" applyAlignment="1">
      <alignment horizontal="center"/>
    </xf>
    <xf numFmtId="0" fontId="4" fillId="0" borderId="0" xfId="8" applyFont="1" applyAlignment="1">
      <alignment horizontal="center"/>
    </xf>
    <xf numFmtId="0" fontId="13" fillId="0" borderId="0" xfId="8" applyAlignment="1">
      <alignment horizontal="center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43" fontId="7" fillId="0" borderId="4" xfId="9" applyFont="1" applyBorder="1" applyAlignment="1">
      <alignment horizontal="center" wrapText="1"/>
    </xf>
    <xf numFmtId="43" fontId="7" fillId="0" borderId="2" xfId="9" applyFont="1" applyBorder="1" applyAlignment="1">
      <alignment horizontal="center" wrapText="1"/>
    </xf>
    <xf numFmtId="0" fontId="7" fillId="0" borderId="4" xfId="8" applyFont="1" applyBorder="1" applyAlignment="1">
      <alignment horizontal="center"/>
    </xf>
    <xf numFmtId="0" fontId="7" fillId="0" borderId="3" xfId="8" applyFont="1" applyBorder="1" applyAlignment="1">
      <alignment horizontal="center"/>
    </xf>
    <xf numFmtId="0" fontId="7" fillId="0" borderId="2" xfId="8" applyFont="1" applyBorder="1" applyAlignment="1">
      <alignment horizontal="center"/>
    </xf>
  </cellXfs>
  <cellStyles count="10">
    <cellStyle name="Comma" xfId="1" builtinId="3"/>
    <cellStyle name="Comma 2" xfId="4"/>
    <cellStyle name="Comma 2 2" xfId="9"/>
    <cellStyle name="Comma 3" xfId="5"/>
    <cellStyle name="Comma 4" xfId="7"/>
    <cellStyle name="Normal" xfId="0" builtinId="0"/>
    <cellStyle name="Normal 2" xfId="3"/>
    <cellStyle name="Normal 3" xfId="2"/>
    <cellStyle name="Normal 3 2" xfId="8"/>
    <cellStyle name="Normal 4" xfId="6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1009650</xdr:colOff>
          <xdr:row>32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1009650</xdr:colOff>
          <xdr:row>30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695325</xdr:colOff>
          <xdr:row>28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5</xdr:col>
          <xdr:colOff>19050</xdr:colOff>
          <xdr:row>26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37</xdr:row>
      <xdr:rowOff>76200</xdr:rowOff>
    </xdr:from>
    <xdr:to>
      <xdr:col>12</xdr:col>
      <xdr:colOff>685800</xdr:colOff>
      <xdr:row>37</xdr:row>
      <xdr:rowOff>76200</xdr:rowOff>
    </xdr:to>
    <xdr:cxnSp macro="">
      <xdr:nvCxnSpPr>
        <xdr:cNvPr id="2" name="Straight Arrow Connector 1"/>
        <xdr:cNvCxnSpPr/>
      </xdr:nvCxnSpPr>
      <xdr:spPr>
        <a:xfrm>
          <a:off x="9220200" y="6886575"/>
          <a:ext cx="6381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161925</xdr:colOff>
          <xdr:row>38</xdr:row>
          <xdr:rowOff>28575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1028700</xdr:colOff>
          <xdr:row>30</xdr:row>
          <xdr:rowOff>47625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1028700</xdr:colOff>
          <xdr:row>28</xdr:row>
          <xdr:rowOff>9525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25"/>
  <sheetViews>
    <sheetView zoomScaleNormal="100" workbookViewId="0">
      <selection activeCell="G22" sqref="G22"/>
    </sheetView>
  </sheetViews>
  <sheetFormatPr defaultRowHeight="12.75" x14ac:dyDescent="0.2"/>
  <cols>
    <col min="1" max="1" width="6.5703125" customWidth="1"/>
    <col min="2" max="2" width="20.140625" style="41" customWidth="1"/>
    <col min="3" max="5" width="11.5703125" customWidth="1"/>
    <col min="6" max="10" width="11.5703125" style="42" customWidth="1"/>
    <col min="11" max="11" width="11" style="42" customWidth="1"/>
    <col min="12" max="12" width="8.140625" style="42" customWidth="1"/>
    <col min="13" max="13" width="9.28515625" style="42" bestFit="1" customWidth="1"/>
    <col min="14" max="14" width="11.5703125" style="42" customWidth="1"/>
    <col min="15" max="16" width="11.42578125" customWidth="1"/>
    <col min="17" max="17" width="9" hidden="1" customWidth="1"/>
    <col min="18" max="18" width="10.140625" customWidth="1"/>
    <col min="19" max="19" width="10" customWidth="1"/>
    <col min="20" max="21" width="9" customWidth="1"/>
    <col min="22" max="22" width="10.140625" customWidth="1"/>
    <col min="23" max="23" width="7.85546875" customWidth="1"/>
    <col min="24" max="24" width="11.42578125" customWidth="1"/>
    <col min="25" max="25" width="12" customWidth="1"/>
  </cols>
  <sheetData>
    <row r="1" spans="1:25" ht="20.25" x14ac:dyDescent="0.3">
      <c r="A1" s="392" t="s">
        <v>82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</row>
    <row r="2" spans="1:25" ht="20.25" x14ac:dyDescent="0.3">
      <c r="A2" s="394" t="s">
        <v>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</row>
    <row r="3" spans="1:25" ht="20.25" x14ac:dyDescent="0.3">
      <c r="A3" s="394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</row>
    <row r="4" spans="1:25" ht="20.25" x14ac:dyDescent="0.3">
      <c r="A4" s="394" t="s">
        <v>83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</row>
    <row r="5" spans="1:25" ht="20.25" x14ac:dyDescent="0.3">
      <c r="A5" s="396" t="s">
        <v>2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</row>
    <row r="7" spans="1:25" ht="12.75" customHeight="1" x14ac:dyDescent="0.2">
      <c r="A7" s="1"/>
      <c r="B7" s="1"/>
      <c r="C7" s="1"/>
      <c r="D7" s="1"/>
      <c r="E7" s="1"/>
      <c r="F7" s="2"/>
      <c r="G7" s="2"/>
      <c r="H7" s="2"/>
      <c r="I7" s="2"/>
      <c r="J7" s="2"/>
      <c r="K7" s="3"/>
      <c r="L7" s="400" t="s">
        <v>3</v>
      </c>
      <c r="M7" s="401"/>
      <c r="N7" s="4">
        <v>2012</v>
      </c>
      <c r="O7" s="5">
        <v>2013</v>
      </c>
      <c r="P7" s="6"/>
      <c r="Q7" s="7"/>
      <c r="R7" s="402" t="s">
        <v>4</v>
      </c>
      <c r="S7" s="398"/>
      <c r="T7" s="398"/>
      <c r="U7" s="399"/>
      <c r="V7" s="398" t="s">
        <v>5</v>
      </c>
      <c r="W7" s="399"/>
      <c r="X7" s="8"/>
      <c r="Y7" s="6"/>
    </row>
    <row r="8" spans="1:25" ht="87.75" customHeight="1" x14ac:dyDescent="0.2">
      <c r="A8" s="9" t="s">
        <v>6</v>
      </c>
      <c r="B8" s="10" t="s">
        <v>7</v>
      </c>
      <c r="C8" s="11" t="s">
        <v>67</v>
      </c>
      <c r="D8" s="3" t="s">
        <v>68</v>
      </c>
      <c r="E8" s="3" t="s">
        <v>8</v>
      </c>
      <c r="F8" s="97" t="s">
        <v>34</v>
      </c>
      <c r="G8" s="3" t="s">
        <v>69</v>
      </c>
      <c r="H8" s="97" t="s">
        <v>70</v>
      </c>
      <c r="I8" s="12" t="s">
        <v>71</v>
      </c>
      <c r="J8" s="100" t="s">
        <v>72</v>
      </c>
      <c r="K8" s="100" t="s">
        <v>33</v>
      </c>
      <c r="L8" s="11" t="s">
        <v>73</v>
      </c>
      <c r="M8" s="3" t="s">
        <v>74</v>
      </c>
      <c r="N8" s="11" t="s">
        <v>75</v>
      </c>
      <c r="O8" s="3" t="s">
        <v>76</v>
      </c>
      <c r="P8" s="13" t="s">
        <v>9</v>
      </c>
      <c r="Q8" s="10" t="s">
        <v>10</v>
      </c>
      <c r="R8" s="14" t="s">
        <v>11</v>
      </c>
      <c r="S8" s="14" t="s">
        <v>77</v>
      </c>
      <c r="T8" s="14" t="s">
        <v>12</v>
      </c>
      <c r="U8" s="14" t="s">
        <v>78</v>
      </c>
      <c r="V8" s="15" t="s">
        <v>13</v>
      </c>
      <c r="W8" s="16" t="s">
        <v>14</v>
      </c>
      <c r="X8" s="17" t="s">
        <v>15</v>
      </c>
      <c r="Y8" s="18" t="s">
        <v>16</v>
      </c>
    </row>
    <row r="9" spans="1:25" ht="27.75" customHeight="1" x14ac:dyDescent="0.2">
      <c r="A9" s="19" t="s">
        <v>17</v>
      </c>
      <c r="B9" s="20" t="s">
        <v>18</v>
      </c>
      <c r="C9" s="110">
        <v>33622</v>
      </c>
      <c r="D9" s="109">
        <f>C9*1.03</f>
        <v>34630.660000000003</v>
      </c>
      <c r="E9" s="21">
        <v>16603</v>
      </c>
      <c r="F9" s="98">
        <v>17019</v>
      </c>
      <c r="G9" s="22">
        <f t="shared" ref="G9:H11" si="0">E9*1.03</f>
        <v>17101.09</v>
      </c>
      <c r="H9" s="98">
        <f t="shared" si="0"/>
        <v>17529.57</v>
      </c>
      <c r="I9" s="23">
        <f t="shared" ref="I9:J11" si="1">E9/26/80</f>
        <v>7.9822115384615389</v>
      </c>
      <c r="J9" s="101">
        <f t="shared" si="1"/>
        <v>8.182211538461539</v>
      </c>
      <c r="K9" s="101">
        <f>H9/26/80</f>
        <v>8.4276778846153846</v>
      </c>
      <c r="L9" s="24">
        <v>696</v>
      </c>
      <c r="M9" s="25">
        <v>1384</v>
      </c>
      <c r="N9" s="26">
        <f t="shared" ref="N9:O11" si="2">J9*L9</f>
        <v>5694.8192307692316</v>
      </c>
      <c r="O9" s="27">
        <f>K9*M9</f>
        <v>11663.906192307692</v>
      </c>
      <c r="P9" s="28">
        <f>SUM(N9:O9)</f>
        <v>17358.725423076925</v>
      </c>
      <c r="Q9" s="27">
        <f>SUM(P9/12)</f>
        <v>1446.5604519230772</v>
      </c>
      <c r="R9" s="29">
        <f>SUM(P9*0.0765)</f>
        <v>1327.9424948653848</v>
      </c>
      <c r="S9" s="29">
        <f>SUM(P9*0.1032)</f>
        <v>1791.4204636615386</v>
      </c>
      <c r="T9" s="29">
        <f>SUM(P9*0.01)</f>
        <v>173.58725423076925</v>
      </c>
      <c r="U9" s="29">
        <f>SUM(P9*0.01)</f>
        <v>173.58725423076925</v>
      </c>
      <c r="V9" s="30">
        <f>(F9/C9) * 4164</f>
        <v>2107.7602760097552</v>
      </c>
      <c r="W9" s="27">
        <f>27*(F9/C9)</f>
        <v>13.6670334899768</v>
      </c>
      <c r="X9" s="31">
        <f>SUM(R9:W9)</f>
        <v>5587.9647764881938</v>
      </c>
      <c r="Y9" s="32">
        <f>SUM(X9+P9)</f>
        <v>22946.690199565121</v>
      </c>
    </row>
    <row r="10" spans="1:25" ht="27.75" customHeight="1" x14ac:dyDescent="0.2">
      <c r="A10" s="19" t="s">
        <v>19</v>
      </c>
      <c r="B10" s="20" t="s">
        <v>20</v>
      </c>
      <c r="C10" s="110">
        <v>36214</v>
      </c>
      <c r="D10" s="110">
        <f>C10*1.03</f>
        <v>37300.42</v>
      </c>
      <c r="E10" s="21">
        <v>28245</v>
      </c>
      <c r="F10" s="98">
        <v>7969</v>
      </c>
      <c r="G10" s="22">
        <f t="shared" si="0"/>
        <v>29092.350000000002</v>
      </c>
      <c r="H10" s="98">
        <f t="shared" si="0"/>
        <v>8208.07</v>
      </c>
      <c r="I10" s="23">
        <f t="shared" si="1"/>
        <v>13.579326923076923</v>
      </c>
      <c r="J10" s="101">
        <f t="shared" si="1"/>
        <v>3.8312499999999998</v>
      </c>
      <c r="K10" s="101">
        <f>H10/26/80</f>
        <v>3.9461874999999997</v>
      </c>
      <c r="L10" s="24">
        <v>696</v>
      </c>
      <c r="M10" s="25">
        <v>1384</v>
      </c>
      <c r="N10" s="26">
        <f t="shared" si="2"/>
        <v>2666.5499999999997</v>
      </c>
      <c r="O10" s="27">
        <f t="shared" si="2"/>
        <v>5461.5234999999993</v>
      </c>
      <c r="P10" s="28">
        <f>SUM(N10:O10)</f>
        <v>8128.0734999999986</v>
      </c>
      <c r="Q10" s="27"/>
      <c r="R10" s="29">
        <f>SUM(P10*0.0765)</f>
        <v>621.79762274999985</v>
      </c>
      <c r="S10" s="29">
        <f t="shared" ref="S10:S11" si="3">SUM(P10*0.1032)</f>
        <v>838.81718519999981</v>
      </c>
      <c r="T10" s="29">
        <f t="shared" ref="T10:T11" si="4">SUM(P10*0.01)</f>
        <v>81.280734999999993</v>
      </c>
      <c r="U10" s="29">
        <f t="shared" ref="U10:U11" si="5">SUM(P10*0.01)</f>
        <v>81.280734999999993</v>
      </c>
      <c r="V10" s="30">
        <f t="shared" ref="V10:V11" si="6">(F10/C10) * 4164</f>
        <v>916.30076765891647</v>
      </c>
      <c r="W10" s="27">
        <f t="shared" ref="W10:W11" si="7">27*(F10/C10)</f>
        <v>5.941431490583752</v>
      </c>
      <c r="X10" s="31">
        <f>SUM(R10:W10)</f>
        <v>2545.4184770995003</v>
      </c>
      <c r="Y10" s="32">
        <f>SUM(X10+P10)</f>
        <v>10673.491977099498</v>
      </c>
    </row>
    <row r="11" spans="1:25" ht="30" customHeight="1" x14ac:dyDescent="0.2">
      <c r="A11" s="90" t="s">
        <v>21</v>
      </c>
      <c r="B11" s="91" t="s">
        <v>22</v>
      </c>
      <c r="C11" s="110">
        <v>35391</v>
      </c>
      <c r="D11" s="110">
        <f>C11*1.03</f>
        <v>36452.730000000003</v>
      </c>
      <c r="E11" s="21">
        <v>0</v>
      </c>
      <c r="F11" s="98">
        <f>SUM(C11)</f>
        <v>35391</v>
      </c>
      <c r="G11" s="22">
        <f t="shared" si="0"/>
        <v>0</v>
      </c>
      <c r="H11" s="98">
        <f t="shared" si="0"/>
        <v>36452.730000000003</v>
      </c>
      <c r="I11" s="23">
        <f t="shared" si="1"/>
        <v>0</v>
      </c>
      <c r="J11" s="101">
        <f t="shared" si="1"/>
        <v>17.014903846153846</v>
      </c>
      <c r="K11" s="101">
        <f>H11/26/80</f>
        <v>17.525350961538464</v>
      </c>
      <c r="L11" s="24">
        <v>696</v>
      </c>
      <c r="M11" s="25">
        <v>1384</v>
      </c>
      <c r="N11" s="26">
        <f t="shared" si="2"/>
        <v>11842.373076923077</v>
      </c>
      <c r="O11" s="27">
        <f t="shared" si="2"/>
        <v>24255.085730769235</v>
      </c>
      <c r="P11" s="28">
        <f>SUM(N11:O11)</f>
        <v>36097.45880769231</v>
      </c>
      <c r="Q11" s="27">
        <f>SUM(P11/12)</f>
        <v>3008.1215673076927</v>
      </c>
      <c r="R11" s="29">
        <f>SUM(P11*0.0765)</f>
        <v>2761.4555987884619</v>
      </c>
      <c r="S11" s="29">
        <f t="shared" si="3"/>
        <v>3725.2577489538462</v>
      </c>
      <c r="T11" s="29">
        <f t="shared" si="4"/>
        <v>360.97458807692311</v>
      </c>
      <c r="U11" s="29">
        <f t="shared" si="5"/>
        <v>360.97458807692311</v>
      </c>
      <c r="V11" s="30">
        <f t="shared" si="6"/>
        <v>4164</v>
      </c>
      <c r="W11" s="27">
        <f t="shared" si="7"/>
        <v>27</v>
      </c>
      <c r="X11" s="31">
        <f>SUM(R11:W11)</f>
        <v>11399.662523896155</v>
      </c>
      <c r="Y11" s="32">
        <f>SUM(X11+P11)</f>
        <v>47497.121331588467</v>
      </c>
    </row>
    <row r="12" spans="1:25" ht="30" customHeight="1" x14ac:dyDescent="0.2">
      <c r="A12" s="33"/>
      <c r="B12" s="34"/>
      <c r="C12" s="92">
        <f>SUM(C9:C11)</f>
        <v>105227</v>
      </c>
      <c r="D12" s="92"/>
      <c r="E12" s="92">
        <f>SUM(E9:E11)</f>
        <v>44848</v>
      </c>
      <c r="F12" s="99">
        <f>SUM(F9:F11)</f>
        <v>60379</v>
      </c>
      <c r="G12" s="99">
        <f>SUM(G9:G11)</f>
        <v>46193.440000000002</v>
      </c>
      <c r="H12" s="99">
        <f>SUM(H9:H11)</f>
        <v>62190.37</v>
      </c>
      <c r="I12" s="96"/>
      <c r="J12" s="96"/>
      <c r="K12" s="95"/>
      <c r="L12" s="35"/>
      <c r="M12" s="36"/>
      <c r="N12" s="37">
        <f t="shared" ref="N12:Y12" si="8">SUM(N9:N11)</f>
        <v>20203.742307692308</v>
      </c>
      <c r="O12" s="37">
        <f t="shared" si="8"/>
        <v>41380.515423076926</v>
      </c>
      <c r="P12" s="93">
        <f t="shared" si="8"/>
        <v>61584.257730769234</v>
      </c>
      <c r="Q12" s="37">
        <f t="shared" si="8"/>
        <v>4454.6820192307696</v>
      </c>
      <c r="R12" s="37">
        <f t="shared" si="8"/>
        <v>4711.1957164038467</v>
      </c>
      <c r="S12" s="37">
        <f t="shared" si="8"/>
        <v>6355.4953978153844</v>
      </c>
      <c r="T12" s="37">
        <f t="shared" si="8"/>
        <v>615.84257730769241</v>
      </c>
      <c r="U12" s="37">
        <f t="shared" si="8"/>
        <v>615.84257730769241</v>
      </c>
      <c r="V12" s="37">
        <f t="shared" si="8"/>
        <v>7188.0610436686711</v>
      </c>
      <c r="W12" s="37">
        <f t="shared" si="8"/>
        <v>46.608464980560555</v>
      </c>
      <c r="X12" s="93">
        <f t="shared" si="8"/>
        <v>19533.045777483851</v>
      </c>
      <c r="Y12" s="94">
        <f t="shared" si="8"/>
        <v>81117.303508253084</v>
      </c>
    </row>
    <row r="13" spans="1:25" x14ac:dyDescent="0.2">
      <c r="A13" s="38"/>
      <c r="B13" s="34"/>
      <c r="C13" s="33"/>
      <c r="D13" s="33"/>
      <c r="E13" s="33"/>
      <c r="F13" s="35"/>
      <c r="G13" s="35"/>
      <c r="H13" s="35"/>
      <c r="I13" s="35"/>
      <c r="J13" s="35"/>
      <c r="K13" s="35"/>
      <c r="L13" s="35"/>
      <c r="M13" s="36"/>
      <c r="N13" s="36"/>
      <c r="O13" s="35"/>
    </row>
    <row r="14" spans="1:25" x14ac:dyDescent="0.2">
      <c r="A14" s="33"/>
      <c r="B14" s="34"/>
      <c r="C14" s="33"/>
      <c r="D14" s="33"/>
      <c r="E14" s="33"/>
      <c r="F14" s="35"/>
      <c r="G14" s="35"/>
      <c r="H14" s="35"/>
      <c r="I14" s="35"/>
      <c r="J14" s="35"/>
      <c r="K14" s="35"/>
      <c r="L14" s="35"/>
      <c r="M14" s="36"/>
      <c r="N14" s="36"/>
      <c r="O14" s="35"/>
    </row>
    <row r="15" spans="1:25" x14ac:dyDescent="0.2">
      <c r="A15" s="39" t="s">
        <v>23</v>
      </c>
      <c r="B15" s="34"/>
      <c r="C15" s="33"/>
      <c r="D15" s="33"/>
      <c r="E15" s="33"/>
      <c r="F15" s="35"/>
      <c r="G15" s="35"/>
      <c r="H15" s="35"/>
      <c r="I15" s="35"/>
      <c r="J15" s="35"/>
      <c r="K15" s="35"/>
      <c r="L15" s="35"/>
      <c r="M15" s="36"/>
      <c r="N15" s="36"/>
      <c r="O15" s="35"/>
    </row>
    <row r="16" spans="1:25" x14ac:dyDescent="0.2">
      <c r="A16">
        <v>1</v>
      </c>
      <c r="B16" s="33" t="s">
        <v>79</v>
      </c>
      <c r="C16" s="33"/>
      <c r="D16" s="33"/>
      <c r="E16" s="34"/>
      <c r="F16" s="33"/>
      <c r="G16" s="33"/>
      <c r="H16" s="33"/>
      <c r="I16" s="33"/>
      <c r="J16" s="33"/>
      <c r="K16" s="35"/>
      <c r="L16" s="35"/>
      <c r="M16" s="36"/>
      <c r="N16" s="36"/>
      <c r="O16" s="35"/>
    </row>
    <row r="17" spans="1:25" x14ac:dyDescent="0.2">
      <c r="A17">
        <v>2</v>
      </c>
      <c r="B17" s="33" t="s">
        <v>80</v>
      </c>
      <c r="C17" s="33"/>
      <c r="D17" s="33"/>
      <c r="E17" s="34"/>
      <c r="F17" s="33"/>
      <c r="G17" s="33"/>
      <c r="H17" s="33"/>
      <c r="I17" s="33"/>
      <c r="J17" s="33"/>
      <c r="K17" s="35"/>
      <c r="L17" s="35"/>
      <c r="M17" s="36"/>
      <c r="N17" s="36"/>
      <c r="O17" s="35"/>
    </row>
    <row r="18" spans="1:25" x14ac:dyDescent="0.2">
      <c r="A18">
        <v>3</v>
      </c>
      <c r="B18" s="33" t="s">
        <v>81</v>
      </c>
      <c r="C18" s="33"/>
      <c r="D18" s="33"/>
      <c r="E18" s="34"/>
      <c r="F18" s="33"/>
      <c r="G18" s="33"/>
      <c r="H18" s="33"/>
      <c r="I18" s="33"/>
      <c r="J18" s="33"/>
      <c r="K18" s="35"/>
      <c r="L18" s="35"/>
      <c r="M18" s="36"/>
      <c r="N18" s="36"/>
      <c r="O18" s="35"/>
    </row>
    <row r="19" spans="1:25" x14ac:dyDescent="0.2">
      <c r="B19" s="33"/>
      <c r="C19" s="34"/>
      <c r="D19" s="34"/>
      <c r="E19" s="33"/>
      <c r="F19" s="33"/>
      <c r="G19" s="33"/>
      <c r="H19" s="35"/>
      <c r="I19" s="35"/>
      <c r="J19" s="35"/>
      <c r="K19" s="35"/>
      <c r="L19" s="35"/>
      <c r="M19" s="36"/>
      <c r="N19" s="36"/>
      <c r="O19" s="35"/>
    </row>
    <row r="20" spans="1:25" x14ac:dyDescent="0.2">
      <c r="A20" s="33"/>
      <c r="B20" s="34"/>
      <c r="C20" s="33"/>
      <c r="D20" s="33"/>
      <c r="E20" s="33"/>
      <c r="F20" s="35"/>
      <c r="G20" s="35"/>
      <c r="H20" s="35"/>
      <c r="I20" s="35"/>
      <c r="J20" s="35"/>
      <c r="K20" s="35"/>
      <c r="L20" s="35"/>
      <c r="M20" s="36"/>
      <c r="N20" s="36"/>
      <c r="O20" s="35"/>
    </row>
    <row r="21" spans="1:25" ht="25.5" customHeight="1" x14ac:dyDescent="0.2">
      <c r="A21" s="35"/>
      <c r="B21" s="40"/>
      <c r="C21" s="35"/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5"/>
    </row>
    <row r="23" spans="1:25" ht="25.5" customHeight="1" x14ac:dyDescent="0.25"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spans="1:25" x14ac:dyDescent="0.2">
      <c r="K24" s="102"/>
      <c r="L24" s="102"/>
      <c r="M24" s="102"/>
      <c r="N24" s="102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1:25" x14ac:dyDescent="0.2">
      <c r="K25" s="104"/>
      <c r="L25" s="403"/>
      <c r="M25" s="403"/>
      <c r="N25" s="105"/>
      <c r="O25" s="106"/>
      <c r="P25" s="103"/>
      <c r="Q25" s="106"/>
      <c r="R25" s="404"/>
      <c r="S25" s="404"/>
      <c r="T25" s="404"/>
      <c r="U25" s="404"/>
      <c r="V25" s="404"/>
      <c r="W25" s="404"/>
      <c r="X25" s="107"/>
      <c r="Y25" s="103"/>
    </row>
  </sheetData>
  <mergeCells count="11">
    <mergeCell ref="V7:W7"/>
    <mergeCell ref="L7:M7"/>
    <mergeCell ref="R7:U7"/>
    <mergeCell ref="L25:M25"/>
    <mergeCell ref="R25:U25"/>
    <mergeCell ref="V25:W25"/>
    <mergeCell ref="A1:X1"/>
    <mergeCell ref="A2:X2"/>
    <mergeCell ref="A3:X3"/>
    <mergeCell ref="A4:X4"/>
    <mergeCell ref="A5:X5"/>
  </mergeCells>
  <phoneticPr fontId="0" type="noConversion"/>
  <printOptions horizontalCentered="1"/>
  <pageMargins left="0" right="0" top="0.75" bottom="0.75" header="0.3" footer="0.3"/>
  <pageSetup paperSize="5" scale="67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72"/>
  <sheetViews>
    <sheetView view="pageBreakPreview" topLeftCell="B1" zoomScale="60" zoomScaleNormal="100" workbookViewId="0">
      <selection activeCell="C63" sqref="C63"/>
    </sheetView>
  </sheetViews>
  <sheetFormatPr defaultRowHeight="15" x14ac:dyDescent="0.25"/>
  <cols>
    <col min="1" max="1" width="9.140625" style="112"/>
    <col min="2" max="2" width="10" style="112" customWidth="1"/>
    <col min="3" max="3" width="20.5703125" style="112" customWidth="1"/>
    <col min="4" max="4" width="15.5703125" style="112" customWidth="1"/>
    <col min="5" max="5" width="0" style="112" hidden="1" customWidth="1"/>
    <col min="6" max="6" width="11.5703125" style="112" customWidth="1"/>
    <col min="7" max="7" width="10" style="112" customWidth="1"/>
    <col min="8" max="9" width="11.140625" style="112" customWidth="1"/>
    <col min="10" max="10" width="12.28515625" style="112" customWidth="1"/>
    <col min="11" max="11" width="11.85546875" style="112" customWidth="1"/>
    <col min="12" max="12" width="9.85546875" style="112" bestFit="1" customWidth="1"/>
    <col min="13" max="13" width="10.42578125" style="112" bestFit="1" customWidth="1"/>
    <col min="14" max="15" width="9.28515625" style="112" bestFit="1" customWidth="1"/>
    <col min="16" max="16" width="11.140625" style="112" customWidth="1"/>
    <col min="17" max="17" width="10.7109375" style="112" customWidth="1"/>
    <col min="18" max="18" width="11.28515625" style="112" customWidth="1"/>
    <col min="19" max="19" width="6.85546875" style="112" customWidth="1"/>
    <col min="20" max="20" width="11.5703125" style="112" customWidth="1"/>
    <col min="21" max="21" width="5.85546875" style="112" customWidth="1"/>
    <col min="22" max="22" width="11.85546875" style="112" customWidth="1"/>
    <col min="23" max="23" width="10.140625" style="112" customWidth="1"/>
    <col min="24" max="24" width="11.140625" style="112" customWidth="1"/>
    <col min="25" max="25" width="10.7109375" style="112" customWidth="1"/>
    <col min="26" max="26" width="10" style="112" customWidth="1"/>
    <col min="27" max="28" width="10.28515625" style="112" customWidth="1"/>
    <col min="29" max="29" width="9.140625" style="112" customWidth="1"/>
    <col min="30" max="31" width="12.140625" style="112" customWidth="1"/>
    <col min="32" max="16384" width="9.140625" style="112"/>
  </cols>
  <sheetData>
    <row r="1" spans="1:31" ht="20.25" x14ac:dyDescent="0.3">
      <c r="A1" s="410" t="s">
        <v>84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111"/>
    </row>
    <row r="2" spans="1:31" ht="20.25" x14ac:dyDescent="0.3">
      <c r="A2" s="412" t="s">
        <v>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111"/>
    </row>
    <row r="3" spans="1:31" ht="20.25" x14ac:dyDescent="0.3">
      <c r="A3" s="412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111"/>
    </row>
    <row r="4" spans="1:31" ht="20.25" x14ac:dyDescent="0.3">
      <c r="A4" s="412" t="s">
        <v>83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111"/>
    </row>
    <row r="5" spans="1:31" ht="20.25" x14ac:dyDescent="0.3">
      <c r="A5" s="414" t="s">
        <v>2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111"/>
    </row>
    <row r="6" spans="1:31" x14ac:dyDescent="0.25">
      <c r="A6" s="113" t="s">
        <v>85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5"/>
      <c r="K7" s="115"/>
      <c r="L7" s="405" t="s">
        <v>86</v>
      </c>
      <c r="M7" s="406"/>
      <c r="N7" s="116"/>
      <c r="O7" s="116"/>
      <c r="P7" s="117">
        <v>2013</v>
      </c>
      <c r="Q7" s="117">
        <v>2014</v>
      </c>
      <c r="R7" s="117"/>
      <c r="S7" s="117"/>
      <c r="T7" s="118"/>
      <c r="U7" s="119"/>
      <c r="V7" s="119"/>
      <c r="W7" s="120"/>
      <c r="X7" s="407" t="s">
        <v>4</v>
      </c>
      <c r="Y7" s="408"/>
      <c r="Z7" s="408"/>
      <c r="AA7" s="409"/>
      <c r="AB7" s="408" t="s">
        <v>5</v>
      </c>
      <c r="AC7" s="409"/>
      <c r="AD7" s="121"/>
      <c r="AE7" s="118"/>
    </row>
    <row r="8" spans="1:31" ht="66.75" customHeight="1" x14ac:dyDescent="0.25">
      <c r="A8" s="122" t="s">
        <v>6</v>
      </c>
      <c r="B8" s="122" t="s">
        <v>87</v>
      </c>
      <c r="C8" s="122" t="s">
        <v>88</v>
      </c>
      <c r="D8" s="123" t="s">
        <v>7</v>
      </c>
      <c r="E8" s="124" t="s">
        <v>89</v>
      </c>
      <c r="F8" s="125" t="s">
        <v>90</v>
      </c>
      <c r="G8" s="124" t="s">
        <v>91</v>
      </c>
      <c r="H8" s="124" t="s">
        <v>8</v>
      </c>
      <c r="I8" s="124" t="s">
        <v>92</v>
      </c>
      <c r="J8" s="126" t="s">
        <v>93</v>
      </c>
      <c r="K8" s="127" t="s">
        <v>94</v>
      </c>
      <c r="L8" s="124" t="s">
        <v>95</v>
      </c>
      <c r="M8" s="124" t="s">
        <v>96</v>
      </c>
      <c r="N8" s="125" t="s">
        <v>97</v>
      </c>
      <c r="O8" s="124" t="s">
        <v>74</v>
      </c>
      <c r="P8" s="124" t="s">
        <v>98</v>
      </c>
      <c r="Q8" s="124" t="s">
        <v>99</v>
      </c>
      <c r="R8" s="128" t="s">
        <v>100</v>
      </c>
      <c r="S8" s="128" t="s">
        <v>101</v>
      </c>
      <c r="T8" s="129" t="s">
        <v>9</v>
      </c>
      <c r="U8" s="129" t="s">
        <v>101</v>
      </c>
      <c r="V8" s="130" t="s">
        <v>102</v>
      </c>
      <c r="W8" s="123" t="s">
        <v>10</v>
      </c>
      <c r="X8" s="131" t="s">
        <v>11</v>
      </c>
      <c r="Y8" s="131" t="s">
        <v>77</v>
      </c>
      <c r="Z8" s="131" t="s">
        <v>12</v>
      </c>
      <c r="AA8" s="131" t="s">
        <v>78</v>
      </c>
      <c r="AB8" s="132" t="s">
        <v>13</v>
      </c>
      <c r="AC8" s="133" t="s">
        <v>14</v>
      </c>
      <c r="AD8" s="134" t="s">
        <v>15</v>
      </c>
      <c r="AE8" s="135" t="s">
        <v>103</v>
      </c>
    </row>
    <row r="9" spans="1:31" ht="46.5" customHeight="1" x14ac:dyDescent="0.25">
      <c r="A9" s="136" t="s">
        <v>104</v>
      </c>
      <c r="B9" s="137" t="s">
        <v>105</v>
      </c>
      <c r="C9" s="385" t="s">
        <v>304</v>
      </c>
      <c r="D9" s="138" t="s">
        <v>106</v>
      </c>
      <c r="E9" s="139" t="s">
        <v>107</v>
      </c>
      <c r="F9" s="140">
        <v>48149</v>
      </c>
      <c r="G9" s="141">
        <v>1819</v>
      </c>
      <c r="H9" s="141">
        <v>9953</v>
      </c>
      <c r="I9" s="142">
        <f>(G9+H9)*1.03</f>
        <v>12125.16</v>
      </c>
      <c r="J9" s="143">
        <v>36377</v>
      </c>
      <c r="K9" s="144">
        <f>J9*1.03</f>
        <v>37468.31</v>
      </c>
      <c r="L9" s="145">
        <f>J9/26/80</f>
        <v>17.488942307692305</v>
      </c>
      <c r="M9" s="145">
        <f>K9/26/80</f>
        <v>18.013610576923078</v>
      </c>
      <c r="N9" s="146">
        <v>696</v>
      </c>
      <c r="O9" s="146">
        <v>1384</v>
      </c>
      <c r="P9" s="147">
        <f>L9*N9</f>
        <v>12172.303846153844</v>
      </c>
      <c r="Q9" s="147">
        <f>M9*O9</f>
        <v>24930.837038461541</v>
      </c>
      <c r="R9" s="148">
        <f>SUM(I9)</f>
        <v>12125.16</v>
      </c>
      <c r="S9" s="148">
        <f>ROUND(R9/V9,2)</f>
        <v>0.25</v>
      </c>
      <c r="T9" s="149">
        <f>SUM(P9:Q9)</f>
        <v>37103.140884615386</v>
      </c>
      <c r="U9" s="150">
        <f>ROUND(T9/V9,2)</f>
        <v>0.75</v>
      </c>
      <c r="V9" s="151">
        <f>SUM(R9+T9)</f>
        <v>49228.300884615383</v>
      </c>
      <c r="W9" s="147">
        <f>ROUND(V9/12,2)</f>
        <v>4102.3599999999997</v>
      </c>
      <c r="X9" s="152">
        <f>T9*0.0765</f>
        <v>2838.390277673077</v>
      </c>
      <c r="Y9" s="152">
        <f>T9*0.1032</f>
        <v>3829.044139292308</v>
      </c>
      <c r="Z9" s="152">
        <f>T9*0.01</f>
        <v>371.03140884615385</v>
      </c>
      <c r="AA9" s="152">
        <f>T9*0.01</f>
        <v>371.03140884615385</v>
      </c>
      <c r="AB9" s="153">
        <f>ROUND((J9/F9)*4164,2)</f>
        <v>3145.94</v>
      </c>
      <c r="AC9" s="147">
        <f>ROUND((J9/F9)*27,2)</f>
        <v>20.399999999999999</v>
      </c>
      <c r="AD9" s="154">
        <f>SUM(X9:AC9)</f>
        <v>10575.837234657693</v>
      </c>
      <c r="AE9" s="155">
        <f>T9+AD9</f>
        <v>47678.978119273081</v>
      </c>
    </row>
    <row r="10" spans="1:31" ht="42" customHeight="1" x14ac:dyDescent="0.25">
      <c r="A10" s="156" t="s">
        <v>108</v>
      </c>
      <c r="B10" s="137" t="s">
        <v>109</v>
      </c>
      <c r="C10" s="213" t="s">
        <v>304</v>
      </c>
      <c r="D10" s="138" t="s">
        <v>110</v>
      </c>
      <c r="E10" s="139" t="s">
        <v>107</v>
      </c>
      <c r="F10" s="140">
        <v>27015</v>
      </c>
      <c r="G10" s="157">
        <v>1201</v>
      </c>
      <c r="H10" s="157">
        <v>1782</v>
      </c>
      <c r="I10" s="142">
        <f t="shared" ref="I10:I19" si="0">(G10+H10)*1.03</f>
        <v>3072.4900000000002</v>
      </c>
      <c r="J10" s="158">
        <v>24032</v>
      </c>
      <c r="K10" s="144">
        <f t="shared" ref="K10:K20" si="1">J10*1.03</f>
        <v>24752.959999999999</v>
      </c>
      <c r="L10" s="145">
        <f t="shared" ref="L10:M20" si="2">J10/26/80</f>
        <v>11.553846153846154</v>
      </c>
      <c r="M10" s="145">
        <f t="shared" si="2"/>
        <v>11.900461538461538</v>
      </c>
      <c r="N10" s="146">
        <v>696</v>
      </c>
      <c r="O10" s="146">
        <v>1384</v>
      </c>
      <c r="P10" s="147">
        <f t="shared" ref="P10:Q20" si="3">L10*N10</f>
        <v>8041.4769230769225</v>
      </c>
      <c r="Q10" s="147">
        <f t="shared" si="3"/>
        <v>16470.238769230768</v>
      </c>
      <c r="R10" s="148">
        <f t="shared" ref="R10:R20" si="4">SUM(I10)</f>
        <v>3072.4900000000002</v>
      </c>
      <c r="S10" s="148">
        <f t="shared" ref="S10:S20" si="5">ROUND(R10/V10,2)</f>
        <v>0.11</v>
      </c>
      <c r="T10" s="149">
        <f t="shared" ref="T10:T20" si="6">SUM(P10:Q10)</f>
        <v>24511.715692307691</v>
      </c>
      <c r="U10" s="150">
        <f t="shared" ref="U10:U20" si="7">ROUND(T10/V10,2)</f>
        <v>0.89</v>
      </c>
      <c r="V10" s="151">
        <f t="shared" ref="V10:V20" si="8">SUM(R10+T10)</f>
        <v>27584.205692307693</v>
      </c>
      <c r="W10" s="147">
        <f t="shared" ref="W10:W20" si="9">ROUND(V10/12,2)</f>
        <v>2298.6799999999998</v>
      </c>
      <c r="X10" s="152">
        <f t="shared" ref="X10:X20" si="10">T10*0.0765</f>
        <v>1875.1462504615383</v>
      </c>
      <c r="Y10" s="152">
        <f t="shared" ref="Y10:Y20" si="11">T10*0.1032</f>
        <v>2529.6090594461539</v>
      </c>
      <c r="Z10" s="152">
        <f t="shared" ref="Z10:Z20" si="12">T10*0.01</f>
        <v>245.11715692307692</v>
      </c>
      <c r="AA10" s="152">
        <f t="shared" ref="AA10:AA20" si="13">T10*0.01</f>
        <v>245.11715692307692</v>
      </c>
      <c r="AB10" s="153">
        <f>ROUND((J10/F10)*4164,2)</f>
        <v>3704.21</v>
      </c>
      <c r="AC10" s="147">
        <f t="shared" ref="AC10:AC20" si="14">ROUND((J10/F10)*27,2)</f>
        <v>24.02</v>
      </c>
      <c r="AD10" s="154">
        <f t="shared" ref="AD10:AD20" si="15">SUM(X10:AC10)</f>
        <v>8623.2196237538483</v>
      </c>
      <c r="AE10" s="155">
        <f t="shared" ref="AE10:AE20" si="16">T10+AD10</f>
        <v>33134.935316061543</v>
      </c>
    </row>
    <row r="11" spans="1:31" ht="42" customHeight="1" x14ac:dyDescent="0.25">
      <c r="A11" s="156" t="s">
        <v>17</v>
      </c>
      <c r="B11" s="137" t="s">
        <v>111</v>
      </c>
      <c r="C11" s="213" t="s">
        <v>304</v>
      </c>
      <c r="D11" s="138" t="s">
        <v>110</v>
      </c>
      <c r="E11" s="139" t="s">
        <v>107</v>
      </c>
      <c r="F11" s="140">
        <v>27016</v>
      </c>
      <c r="G11" s="157">
        <v>0</v>
      </c>
      <c r="H11" s="159">
        <v>0</v>
      </c>
      <c r="I11" s="142">
        <f t="shared" si="0"/>
        <v>0</v>
      </c>
      <c r="J11" s="158">
        <v>27016</v>
      </c>
      <c r="K11" s="144">
        <f t="shared" si="1"/>
        <v>27826.48</v>
      </c>
      <c r="L11" s="145">
        <f t="shared" si="2"/>
        <v>12.988461538461539</v>
      </c>
      <c r="M11" s="145">
        <f t="shared" si="2"/>
        <v>13.378115384615384</v>
      </c>
      <c r="N11" s="146">
        <v>696</v>
      </c>
      <c r="O11" s="146">
        <v>1384</v>
      </c>
      <c r="P11" s="147">
        <f t="shared" si="3"/>
        <v>9039.9692307692312</v>
      </c>
      <c r="Q11" s="147">
        <f t="shared" si="3"/>
        <v>18515.311692307692</v>
      </c>
      <c r="R11" s="148">
        <f t="shared" si="4"/>
        <v>0</v>
      </c>
      <c r="S11" s="148">
        <f t="shared" si="5"/>
        <v>0</v>
      </c>
      <c r="T11" s="149">
        <f t="shared" si="6"/>
        <v>27555.280923076924</v>
      </c>
      <c r="U11" s="150">
        <f t="shared" si="7"/>
        <v>1</v>
      </c>
      <c r="V11" s="151">
        <f t="shared" si="8"/>
        <v>27555.280923076924</v>
      </c>
      <c r="W11" s="147">
        <f t="shared" si="9"/>
        <v>2296.27</v>
      </c>
      <c r="X11" s="152">
        <f t="shared" si="10"/>
        <v>2107.9789906153846</v>
      </c>
      <c r="Y11" s="152">
        <f t="shared" si="11"/>
        <v>2843.7049912615385</v>
      </c>
      <c r="Z11" s="152">
        <f t="shared" si="12"/>
        <v>275.55280923076924</v>
      </c>
      <c r="AA11" s="152">
        <f t="shared" si="13"/>
        <v>275.55280923076924</v>
      </c>
      <c r="AB11" s="153">
        <f t="shared" ref="AB11:AB17" si="17">ROUND((J11/F11)*4164,2)</f>
        <v>4164</v>
      </c>
      <c r="AC11" s="147">
        <f t="shared" si="14"/>
        <v>27</v>
      </c>
      <c r="AD11" s="154">
        <f t="shared" si="15"/>
        <v>9693.7896003384631</v>
      </c>
      <c r="AE11" s="155">
        <f t="shared" si="16"/>
        <v>37249.070523415387</v>
      </c>
    </row>
    <row r="12" spans="1:31" ht="42" customHeight="1" x14ac:dyDescent="0.25">
      <c r="A12" s="156" t="s">
        <v>19</v>
      </c>
      <c r="B12" s="137" t="s">
        <v>112</v>
      </c>
      <c r="C12" s="213" t="s">
        <v>304</v>
      </c>
      <c r="D12" s="138" t="s">
        <v>113</v>
      </c>
      <c r="E12" s="139" t="s">
        <v>107</v>
      </c>
      <c r="F12" s="140">
        <v>24912</v>
      </c>
      <c r="G12" s="157">
        <v>0</v>
      </c>
      <c r="H12" s="159">
        <v>0</v>
      </c>
      <c r="I12" s="142">
        <f t="shared" si="0"/>
        <v>0</v>
      </c>
      <c r="J12" s="158">
        <v>24912</v>
      </c>
      <c r="K12" s="144">
        <f t="shared" si="1"/>
        <v>25659.360000000001</v>
      </c>
      <c r="L12" s="145">
        <f t="shared" si="2"/>
        <v>11.976923076923077</v>
      </c>
      <c r="M12" s="145">
        <f t="shared" si="2"/>
        <v>12.33623076923077</v>
      </c>
      <c r="N12" s="146">
        <v>696</v>
      </c>
      <c r="O12" s="146">
        <v>1384</v>
      </c>
      <c r="P12" s="147">
        <f t="shared" si="3"/>
        <v>8335.9384615384624</v>
      </c>
      <c r="Q12" s="147">
        <f t="shared" si="3"/>
        <v>17073.343384615386</v>
      </c>
      <c r="R12" s="148">
        <f t="shared" si="4"/>
        <v>0</v>
      </c>
      <c r="S12" s="148">
        <f t="shared" si="5"/>
        <v>0</v>
      </c>
      <c r="T12" s="149">
        <f t="shared" si="6"/>
        <v>25409.281846153848</v>
      </c>
      <c r="U12" s="150">
        <f t="shared" si="7"/>
        <v>1</v>
      </c>
      <c r="V12" s="151">
        <f t="shared" si="8"/>
        <v>25409.281846153848</v>
      </c>
      <c r="W12" s="147">
        <f t="shared" si="9"/>
        <v>2117.44</v>
      </c>
      <c r="X12" s="152">
        <f t="shared" si="10"/>
        <v>1943.8100612307694</v>
      </c>
      <c r="Y12" s="152">
        <f t="shared" si="11"/>
        <v>2622.2378865230771</v>
      </c>
      <c r="Z12" s="152">
        <f t="shared" si="12"/>
        <v>254.09281846153849</v>
      </c>
      <c r="AA12" s="152">
        <f t="shared" si="13"/>
        <v>254.09281846153849</v>
      </c>
      <c r="AB12" s="153">
        <f t="shared" si="17"/>
        <v>4164</v>
      </c>
      <c r="AC12" s="147">
        <f t="shared" si="14"/>
        <v>27</v>
      </c>
      <c r="AD12" s="154">
        <f t="shared" si="15"/>
        <v>9265.2335846769238</v>
      </c>
      <c r="AE12" s="155">
        <f t="shared" si="16"/>
        <v>34674.515430830768</v>
      </c>
    </row>
    <row r="13" spans="1:31" ht="40.5" customHeight="1" x14ac:dyDescent="0.25">
      <c r="A13" s="156" t="s">
        <v>21</v>
      </c>
      <c r="B13" s="137" t="s">
        <v>114</v>
      </c>
      <c r="C13" s="213" t="s">
        <v>304</v>
      </c>
      <c r="D13" s="138" t="s">
        <v>113</v>
      </c>
      <c r="E13" s="160" t="s">
        <v>115</v>
      </c>
      <c r="F13" s="140">
        <v>24912</v>
      </c>
      <c r="G13" s="157">
        <v>0</v>
      </c>
      <c r="H13" s="159">
        <v>0</v>
      </c>
      <c r="I13" s="142">
        <f t="shared" si="0"/>
        <v>0</v>
      </c>
      <c r="J13" s="158">
        <v>24912</v>
      </c>
      <c r="K13" s="144">
        <f t="shared" si="1"/>
        <v>25659.360000000001</v>
      </c>
      <c r="L13" s="145">
        <f t="shared" si="2"/>
        <v>11.976923076923077</v>
      </c>
      <c r="M13" s="145">
        <f t="shared" si="2"/>
        <v>12.33623076923077</v>
      </c>
      <c r="N13" s="146">
        <v>696</v>
      </c>
      <c r="O13" s="146">
        <v>1384</v>
      </c>
      <c r="P13" s="147">
        <f t="shared" si="3"/>
        <v>8335.9384615384624</v>
      </c>
      <c r="Q13" s="147">
        <f t="shared" si="3"/>
        <v>17073.343384615386</v>
      </c>
      <c r="R13" s="148">
        <f t="shared" si="4"/>
        <v>0</v>
      </c>
      <c r="S13" s="148">
        <f t="shared" si="5"/>
        <v>0</v>
      </c>
      <c r="T13" s="149">
        <f t="shared" si="6"/>
        <v>25409.281846153848</v>
      </c>
      <c r="U13" s="150">
        <f t="shared" si="7"/>
        <v>1</v>
      </c>
      <c r="V13" s="151">
        <f t="shared" si="8"/>
        <v>25409.281846153848</v>
      </c>
      <c r="W13" s="147">
        <f t="shared" si="9"/>
        <v>2117.44</v>
      </c>
      <c r="X13" s="152">
        <f t="shared" si="10"/>
        <v>1943.8100612307694</v>
      </c>
      <c r="Y13" s="152">
        <f t="shared" si="11"/>
        <v>2622.2378865230771</v>
      </c>
      <c r="Z13" s="152">
        <f t="shared" si="12"/>
        <v>254.09281846153849</v>
      </c>
      <c r="AA13" s="152">
        <f t="shared" si="13"/>
        <v>254.09281846153849</v>
      </c>
      <c r="AB13" s="153">
        <f t="shared" si="17"/>
        <v>4164</v>
      </c>
      <c r="AC13" s="147">
        <f t="shared" si="14"/>
        <v>27</v>
      </c>
      <c r="AD13" s="154">
        <f t="shared" si="15"/>
        <v>9265.2335846769238</v>
      </c>
      <c r="AE13" s="155">
        <f t="shared" si="16"/>
        <v>34674.515430830768</v>
      </c>
    </row>
    <row r="14" spans="1:31" ht="40.5" customHeight="1" x14ac:dyDescent="0.25">
      <c r="A14" s="156" t="s">
        <v>116</v>
      </c>
      <c r="B14" s="137" t="s">
        <v>117</v>
      </c>
      <c r="C14" s="213" t="s">
        <v>304</v>
      </c>
      <c r="D14" s="138" t="s">
        <v>118</v>
      </c>
      <c r="E14" s="160" t="s">
        <v>119</v>
      </c>
      <c r="F14" s="140">
        <v>70748</v>
      </c>
      <c r="G14" s="157">
        <v>0</v>
      </c>
      <c r="H14" s="159">
        <v>0</v>
      </c>
      <c r="I14" s="142">
        <f t="shared" si="0"/>
        <v>0</v>
      </c>
      <c r="J14" s="158">
        <v>70748</v>
      </c>
      <c r="K14" s="144">
        <f t="shared" si="1"/>
        <v>72870.44</v>
      </c>
      <c r="L14" s="145">
        <f t="shared" si="2"/>
        <v>34.013461538461534</v>
      </c>
      <c r="M14" s="145">
        <f t="shared" si="2"/>
        <v>35.033865384615389</v>
      </c>
      <c r="N14" s="146">
        <v>696</v>
      </c>
      <c r="O14" s="146">
        <v>1384</v>
      </c>
      <c r="P14" s="147">
        <f t="shared" si="3"/>
        <v>23673.369230769229</v>
      </c>
      <c r="Q14" s="147">
        <f t="shared" si="3"/>
        <v>48486.8696923077</v>
      </c>
      <c r="R14" s="148">
        <f t="shared" si="4"/>
        <v>0</v>
      </c>
      <c r="S14" s="148">
        <f t="shared" si="5"/>
        <v>0</v>
      </c>
      <c r="T14" s="149">
        <f t="shared" si="6"/>
        <v>72160.238923076933</v>
      </c>
      <c r="U14" s="150">
        <f t="shared" si="7"/>
        <v>1</v>
      </c>
      <c r="V14" s="151">
        <f t="shared" si="8"/>
        <v>72160.238923076933</v>
      </c>
      <c r="W14" s="147">
        <f t="shared" si="9"/>
        <v>6013.35</v>
      </c>
      <c r="X14" s="152">
        <f t="shared" si="10"/>
        <v>5520.2582776153849</v>
      </c>
      <c r="Y14" s="152">
        <f t="shared" si="11"/>
        <v>7446.9366568615396</v>
      </c>
      <c r="Z14" s="152">
        <f t="shared" si="12"/>
        <v>721.60238923076929</v>
      </c>
      <c r="AA14" s="152">
        <f t="shared" si="13"/>
        <v>721.60238923076929</v>
      </c>
      <c r="AB14" s="153">
        <f t="shared" si="17"/>
        <v>4164</v>
      </c>
      <c r="AC14" s="147">
        <f t="shared" si="14"/>
        <v>27</v>
      </c>
      <c r="AD14" s="154">
        <f t="shared" si="15"/>
        <v>18601.399712938462</v>
      </c>
      <c r="AE14" s="155">
        <f t="shared" si="16"/>
        <v>90761.638636015399</v>
      </c>
    </row>
    <row r="15" spans="1:31" ht="39" x14ac:dyDescent="0.25">
      <c r="A15" s="156" t="s">
        <v>120</v>
      </c>
      <c r="B15" s="137" t="s">
        <v>121</v>
      </c>
      <c r="C15" s="213" t="s">
        <v>304</v>
      </c>
      <c r="D15" s="138" t="s">
        <v>122</v>
      </c>
      <c r="E15" s="160" t="s">
        <v>123</v>
      </c>
      <c r="F15" s="140">
        <v>60655</v>
      </c>
      <c r="G15" s="157">
        <v>0</v>
      </c>
      <c r="H15" s="159">
        <v>0</v>
      </c>
      <c r="I15" s="142">
        <f t="shared" si="0"/>
        <v>0</v>
      </c>
      <c r="J15" s="158">
        <v>60655</v>
      </c>
      <c r="K15" s="144">
        <f t="shared" si="1"/>
        <v>62474.65</v>
      </c>
      <c r="L15" s="145">
        <f t="shared" si="2"/>
        <v>29.16105769230769</v>
      </c>
      <c r="M15" s="145">
        <f t="shared" si="2"/>
        <v>30.035889423076924</v>
      </c>
      <c r="N15" s="146">
        <v>696</v>
      </c>
      <c r="O15" s="146">
        <v>1384</v>
      </c>
      <c r="P15" s="147">
        <f t="shared" si="3"/>
        <v>20296.096153846152</v>
      </c>
      <c r="Q15" s="147">
        <f t="shared" si="3"/>
        <v>41569.670961538461</v>
      </c>
      <c r="R15" s="148">
        <f t="shared" si="4"/>
        <v>0</v>
      </c>
      <c r="S15" s="148">
        <f t="shared" si="5"/>
        <v>0</v>
      </c>
      <c r="T15" s="149">
        <f t="shared" si="6"/>
        <v>61865.767115384617</v>
      </c>
      <c r="U15" s="150">
        <f t="shared" si="7"/>
        <v>1</v>
      </c>
      <c r="V15" s="151">
        <f t="shared" si="8"/>
        <v>61865.767115384617</v>
      </c>
      <c r="W15" s="147">
        <f t="shared" si="9"/>
        <v>5155.4799999999996</v>
      </c>
      <c r="X15" s="152">
        <f t="shared" si="10"/>
        <v>4732.7311843269235</v>
      </c>
      <c r="Y15" s="152">
        <f t="shared" si="11"/>
        <v>6384.5471663076924</v>
      </c>
      <c r="Z15" s="152">
        <f t="shared" si="12"/>
        <v>618.6576711538462</v>
      </c>
      <c r="AA15" s="152">
        <f t="shared" si="13"/>
        <v>618.6576711538462</v>
      </c>
      <c r="AB15" s="153">
        <f t="shared" si="17"/>
        <v>4164</v>
      </c>
      <c r="AC15" s="147">
        <f t="shared" si="14"/>
        <v>27</v>
      </c>
      <c r="AD15" s="154">
        <f t="shared" si="15"/>
        <v>16545.593692942308</v>
      </c>
      <c r="AE15" s="155">
        <f t="shared" si="16"/>
        <v>78411.360808326921</v>
      </c>
    </row>
    <row r="16" spans="1:31" x14ac:dyDescent="0.25">
      <c r="A16" s="156" t="s">
        <v>124</v>
      </c>
      <c r="B16" s="137" t="s">
        <v>125</v>
      </c>
      <c r="C16" s="213" t="s">
        <v>304</v>
      </c>
      <c r="D16" s="138" t="s">
        <v>126</v>
      </c>
      <c r="E16" s="160" t="s">
        <v>127</v>
      </c>
      <c r="F16" s="140">
        <v>26330</v>
      </c>
      <c r="G16" s="157">
        <v>0</v>
      </c>
      <c r="H16" s="159">
        <v>0</v>
      </c>
      <c r="I16" s="142">
        <f t="shared" si="0"/>
        <v>0</v>
      </c>
      <c r="J16" s="158">
        <v>26330</v>
      </c>
      <c r="K16" s="144">
        <f t="shared" si="1"/>
        <v>27119.9</v>
      </c>
      <c r="L16" s="145">
        <f t="shared" si="2"/>
        <v>12.658653846153847</v>
      </c>
      <c r="M16" s="145">
        <f t="shared" si="2"/>
        <v>13.038413461538463</v>
      </c>
      <c r="N16" s="146">
        <v>696</v>
      </c>
      <c r="O16" s="146">
        <v>1384</v>
      </c>
      <c r="P16" s="147">
        <f t="shared" si="3"/>
        <v>8810.423076923078</v>
      </c>
      <c r="Q16" s="147">
        <f t="shared" si="3"/>
        <v>18045.164230769231</v>
      </c>
      <c r="R16" s="148">
        <f t="shared" si="4"/>
        <v>0</v>
      </c>
      <c r="S16" s="148">
        <f t="shared" si="5"/>
        <v>0</v>
      </c>
      <c r="T16" s="149">
        <f t="shared" si="6"/>
        <v>26855.587307692309</v>
      </c>
      <c r="U16" s="150">
        <f t="shared" si="7"/>
        <v>1</v>
      </c>
      <c r="V16" s="151">
        <f t="shared" si="8"/>
        <v>26855.587307692309</v>
      </c>
      <c r="W16" s="147">
        <f t="shared" si="9"/>
        <v>2237.9699999999998</v>
      </c>
      <c r="X16" s="152">
        <f t="shared" si="10"/>
        <v>2054.4524290384616</v>
      </c>
      <c r="Y16" s="152">
        <f t="shared" si="11"/>
        <v>2771.4966101538462</v>
      </c>
      <c r="Z16" s="152">
        <f t="shared" si="12"/>
        <v>268.55587307692309</v>
      </c>
      <c r="AA16" s="152">
        <f t="shared" si="13"/>
        <v>268.55587307692309</v>
      </c>
      <c r="AB16" s="153">
        <f t="shared" si="17"/>
        <v>4164</v>
      </c>
      <c r="AC16" s="147">
        <f t="shared" si="14"/>
        <v>27</v>
      </c>
      <c r="AD16" s="154">
        <f t="shared" si="15"/>
        <v>9554.0607853461552</v>
      </c>
      <c r="AE16" s="155">
        <f t="shared" si="16"/>
        <v>36409.648093038464</v>
      </c>
    </row>
    <row r="17" spans="1:31" ht="51.75" x14ac:dyDescent="0.25">
      <c r="A17" s="156" t="s">
        <v>128</v>
      </c>
      <c r="B17" s="137" t="s">
        <v>129</v>
      </c>
      <c r="C17" s="213" t="s">
        <v>304</v>
      </c>
      <c r="D17" s="138" t="s">
        <v>130</v>
      </c>
      <c r="E17" s="160" t="s">
        <v>115</v>
      </c>
      <c r="F17" s="140">
        <v>35391</v>
      </c>
      <c r="G17" s="157">
        <v>0</v>
      </c>
      <c r="H17" s="159">
        <v>0</v>
      </c>
      <c r="I17" s="142">
        <f t="shared" si="0"/>
        <v>0</v>
      </c>
      <c r="J17" s="158">
        <v>35391</v>
      </c>
      <c r="K17" s="144">
        <f t="shared" si="1"/>
        <v>36452.730000000003</v>
      </c>
      <c r="L17" s="145">
        <f t="shared" si="2"/>
        <v>17.014903846153846</v>
      </c>
      <c r="M17" s="145">
        <f t="shared" si="2"/>
        <v>17.525350961538464</v>
      </c>
      <c r="N17" s="146">
        <v>696</v>
      </c>
      <c r="O17" s="146">
        <v>1384</v>
      </c>
      <c r="P17" s="147">
        <f t="shared" si="3"/>
        <v>11842.373076923077</v>
      </c>
      <c r="Q17" s="147">
        <f t="shared" si="3"/>
        <v>24255.085730769235</v>
      </c>
      <c r="R17" s="148">
        <f t="shared" si="4"/>
        <v>0</v>
      </c>
      <c r="S17" s="148">
        <f t="shared" si="5"/>
        <v>0</v>
      </c>
      <c r="T17" s="149">
        <f t="shared" si="6"/>
        <v>36097.45880769231</v>
      </c>
      <c r="U17" s="150">
        <f t="shared" si="7"/>
        <v>1</v>
      </c>
      <c r="V17" s="151">
        <f t="shared" si="8"/>
        <v>36097.45880769231</v>
      </c>
      <c r="W17" s="147">
        <f t="shared" si="9"/>
        <v>3008.12</v>
      </c>
      <c r="X17" s="152">
        <f t="shared" si="10"/>
        <v>2761.4555987884619</v>
      </c>
      <c r="Y17" s="152">
        <f t="shared" si="11"/>
        <v>3725.2577489538462</v>
      </c>
      <c r="Z17" s="152">
        <f t="shared" si="12"/>
        <v>360.97458807692311</v>
      </c>
      <c r="AA17" s="152">
        <f t="shared" si="13"/>
        <v>360.97458807692311</v>
      </c>
      <c r="AB17" s="153">
        <f t="shared" si="17"/>
        <v>4164</v>
      </c>
      <c r="AC17" s="147">
        <f t="shared" si="14"/>
        <v>27</v>
      </c>
      <c r="AD17" s="154">
        <f t="shared" si="15"/>
        <v>11399.662523896155</v>
      </c>
      <c r="AE17" s="155">
        <f t="shared" si="16"/>
        <v>47497.121331588467</v>
      </c>
    </row>
    <row r="18" spans="1:31" ht="34.5" customHeight="1" x14ac:dyDescent="0.25">
      <c r="A18" s="156"/>
      <c r="B18" s="161"/>
      <c r="C18" s="162" t="s">
        <v>132</v>
      </c>
      <c r="D18" s="163" t="s">
        <v>131</v>
      </c>
      <c r="E18" s="164"/>
      <c r="F18" s="140">
        <v>44794</v>
      </c>
      <c r="G18" s="157">
        <v>1792</v>
      </c>
      <c r="H18" s="159">
        <v>9407</v>
      </c>
      <c r="I18" s="142">
        <f t="shared" si="0"/>
        <v>11534.970000000001</v>
      </c>
      <c r="J18" s="158">
        <v>33595</v>
      </c>
      <c r="K18" s="144">
        <f t="shared" si="1"/>
        <v>34602.85</v>
      </c>
      <c r="L18" s="145">
        <f t="shared" si="2"/>
        <v>16.151442307692307</v>
      </c>
      <c r="M18" s="145">
        <f t="shared" si="2"/>
        <v>16.635985576923076</v>
      </c>
      <c r="N18" s="146">
        <v>696</v>
      </c>
      <c r="O18" s="146">
        <v>1384</v>
      </c>
      <c r="P18" s="147">
        <f t="shared" si="3"/>
        <v>11241.403846153846</v>
      </c>
      <c r="Q18" s="147">
        <f t="shared" si="3"/>
        <v>23024.204038461539</v>
      </c>
      <c r="R18" s="148">
        <f t="shared" si="4"/>
        <v>11534.970000000001</v>
      </c>
      <c r="S18" s="148">
        <f t="shared" si="5"/>
        <v>0.25</v>
      </c>
      <c r="T18" s="149">
        <f t="shared" si="6"/>
        <v>34265.607884615383</v>
      </c>
      <c r="U18" s="150">
        <f t="shared" si="7"/>
        <v>0.75</v>
      </c>
      <c r="V18" s="151">
        <f t="shared" si="8"/>
        <v>45800.577884615384</v>
      </c>
      <c r="W18" s="147">
        <f t="shared" si="9"/>
        <v>3816.71</v>
      </c>
      <c r="X18" s="152">
        <f t="shared" si="10"/>
        <v>2621.3190031730769</v>
      </c>
      <c r="Y18" s="152">
        <f t="shared" si="11"/>
        <v>3536.2107336923077</v>
      </c>
      <c r="Z18" s="152">
        <f t="shared" si="12"/>
        <v>342.65607884615383</v>
      </c>
      <c r="AA18" s="152">
        <f t="shared" si="13"/>
        <v>342.65607884615383</v>
      </c>
      <c r="AB18" s="153">
        <f>ROUND((J18/F18)*4164,2)</f>
        <v>3122.95</v>
      </c>
      <c r="AC18" s="147">
        <f t="shared" si="14"/>
        <v>20.25</v>
      </c>
      <c r="AD18" s="154">
        <f t="shared" si="15"/>
        <v>9986.041894557693</v>
      </c>
      <c r="AE18" s="155">
        <f t="shared" si="16"/>
        <v>44251.64977917308</v>
      </c>
    </row>
    <row r="19" spans="1:31" ht="34.5" customHeight="1" x14ac:dyDescent="0.25">
      <c r="A19" s="156"/>
      <c r="B19" s="161"/>
      <c r="C19" s="165" t="s">
        <v>132</v>
      </c>
      <c r="D19" s="163" t="s">
        <v>126</v>
      </c>
      <c r="E19" s="164"/>
      <c r="F19" s="140">
        <v>26014</v>
      </c>
      <c r="G19" s="157">
        <v>0</v>
      </c>
      <c r="H19" s="159">
        <v>0</v>
      </c>
      <c r="I19" s="142">
        <f t="shared" si="0"/>
        <v>0</v>
      </c>
      <c r="J19" s="158">
        <f>SUM(F19)</f>
        <v>26014</v>
      </c>
      <c r="K19" s="144">
        <f t="shared" si="1"/>
        <v>26794.420000000002</v>
      </c>
      <c r="L19" s="145">
        <f t="shared" si="2"/>
        <v>12.506730769230769</v>
      </c>
      <c r="M19" s="145">
        <f t="shared" si="2"/>
        <v>12.881932692307695</v>
      </c>
      <c r="N19" s="146">
        <v>696</v>
      </c>
      <c r="O19" s="146">
        <v>1384</v>
      </c>
      <c r="P19" s="147">
        <f t="shared" si="3"/>
        <v>8704.6846153846145</v>
      </c>
      <c r="Q19" s="147">
        <f t="shared" si="3"/>
        <v>17828.59484615385</v>
      </c>
      <c r="R19" s="148">
        <f t="shared" si="4"/>
        <v>0</v>
      </c>
      <c r="S19" s="148">
        <f t="shared" si="5"/>
        <v>0</v>
      </c>
      <c r="T19" s="149">
        <f t="shared" si="6"/>
        <v>26533.279461538463</v>
      </c>
      <c r="U19" s="150">
        <f t="shared" si="7"/>
        <v>1</v>
      </c>
      <c r="V19" s="151">
        <f t="shared" si="8"/>
        <v>26533.279461538463</v>
      </c>
      <c r="W19" s="147">
        <f t="shared" si="9"/>
        <v>2211.11</v>
      </c>
      <c r="X19" s="152">
        <f t="shared" si="10"/>
        <v>2029.7958788076924</v>
      </c>
      <c r="Y19" s="152">
        <f t="shared" si="11"/>
        <v>2738.2344404307692</v>
      </c>
      <c r="Z19" s="152">
        <f t="shared" si="12"/>
        <v>265.33279461538461</v>
      </c>
      <c r="AA19" s="152">
        <f t="shared" si="13"/>
        <v>265.33279461538461</v>
      </c>
      <c r="AB19" s="153">
        <f t="shared" ref="AB19:AB20" si="18">ROUND((J19/F19)*4164,2)</f>
        <v>4164</v>
      </c>
      <c r="AC19" s="147">
        <f t="shared" si="14"/>
        <v>27</v>
      </c>
      <c r="AD19" s="154">
        <f t="shared" si="15"/>
        <v>9489.6959084692317</v>
      </c>
      <c r="AE19" s="155">
        <f t="shared" si="16"/>
        <v>36022.975370007698</v>
      </c>
    </row>
    <row r="20" spans="1:31" ht="58.5" customHeight="1" x14ac:dyDescent="0.25">
      <c r="A20" s="156"/>
      <c r="B20" s="161"/>
      <c r="C20" s="165" t="s">
        <v>132</v>
      </c>
      <c r="D20" s="214" t="s">
        <v>179</v>
      </c>
      <c r="E20" s="164"/>
      <c r="F20" s="140">
        <v>29656</v>
      </c>
      <c r="G20" s="157">
        <v>0</v>
      </c>
      <c r="H20" s="159">
        <v>0</v>
      </c>
      <c r="I20" s="142">
        <v>0</v>
      </c>
      <c r="J20" s="158">
        <f>SUM(F20)</f>
        <v>29656</v>
      </c>
      <c r="K20" s="144">
        <f t="shared" si="1"/>
        <v>30545.68</v>
      </c>
      <c r="L20" s="145">
        <f t="shared" si="2"/>
        <v>14.257692307692306</v>
      </c>
      <c r="M20" s="145">
        <f t="shared" si="2"/>
        <v>14.685423076923078</v>
      </c>
      <c r="N20" s="146">
        <v>696</v>
      </c>
      <c r="O20" s="146">
        <v>1384</v>
      </c>
      <c r="P20" s="147">
        <f t="shared" si="3"/>
        <v>9923.3538461538446</v>
      </c>
      <c r="Q20" s="147">
        <f t="shared" si="3"/>
        <v>20324.62553846154</v>
      </c>
      <c r="R20" s="148">
        <f t="shared" si="4"/>
        <v>0</v>
      </c>
      <c r="S20" s="148">
        <f t="shared" si="5"/>
        <v>0</v>
      </c>
      <c r="T20" s="149">
        <f t="shared" si="6"/>
        <v>30247.979384615384</v>
      </c>
      <c r="U20" s="150">
        <f t="shared" si="7"/>
        <v>1</v>
      </c>
      <c r="V20" s="151">
        <f t="shared" si="8"/>
        <v>30247.979384615384</v>
      </c>
      <c r="W20" s="147">
        <f t="shared" si="9"/>
        <v>2520.66</v>
      </c>
      <c r="X20" s="152">
        <f t="shared" si="10"/>
        <v>2313.970422923077</v>
      </c>
      <c r="Y20" s="152">
        <f t="shared" si="11"/>
        <v>3121.5914724923077</v>
      </c>
      <c r="Z20" s="152">
        <f t="shared" si="12"/>
        <v>302.47979384615383</v>
      </c>
      <c r="AA20" s="152">
        <f t="shared" si="13"/>
        <v>302.47979384615383</v>
      </c>
      <c r="AB20" s="153">
        <f t="shared" si="18"/>
        <v>4164</v>
      </c>
      <c r="AC20" s="147">
        <f t="shared" si="14"/>
        <v>27</v>
      </c>
      <c r="AD20" s="154">
        <f t="shared" si="15"/>
        <v>10231.521483107694</v>
      </c>
      <c r="AE20" s="155">
        <f t="shared" si="16"/>
        <v>40479.50086772308</v>
      </c>
    </row>
    <row r="21" spans="1:31" ht="21" customHeight="1" thickBot="1" x14ac:dyDescent="0.3">
      <c r="A21" s="166"/>
      <c r="B21" s="166"/>
      <c r="C21" s="166"/>
      <c r="D21" s="167"/>
      <c r="E21" s="166"/>
      <c r="F21" s="168">
        <f t="shared" ref="F21:K21" si="19">SUM(F9:F18)</f>
        <v>389922</v>
      </c>
      <c r="G21" s="168">
        <f t="shared" si="19"/>
        <v>4812</v>
      </c>
      <c r="H21" s="168">
        <f t="shared" si="19"/>
        <v>21142</v>
      </c>
      <c r="I21" s="169">
        <f t="shared" si="19"/>
        <v>26732.620000000003</v>
      </c>
      <c r="J21" s="168">
        <f t="shared" si="19"/>
        <v>363968</v>
      </c>
      <c r="K21" s="169">
        <f t="shared" si="19"/>
        <v>374887.04</v>
      </c>
      <c r="L21" s="170"/>
      <c r="M21" s="171"/>
      <c r="N21" s="172"/>
      <c r="O21" s="172"/>
      <c r="P21" s="170"/>
      <c r="Q21" s="170"/>
      <c r="R21" s="169">
        <f>SUM(R9:R17)</f>
        <v>15197.65</v>
      </c>
      <c r="S21" s="173"/>
      <c r="T21" s="174">
        <f>SUM(T9:T20)</f>
        <v>428014.62007692311</v>
      </c>
      <c r="U21" s="174"/>
      <c r="V21" s="175">
        <f t="shared" ref="V21:AE21" si="20">SUM(V9:V20)</f>
        <v>454747.24007692316</v>
      </c>
      <c r="W21" s="174">
        <f t="shared" si="20"/>
        <v>37895.589999999997</v>
      </c>
      <c r="X21" s="174">
        <f t="shared" si="20"/>
        <v>32743.118435884622</v>
      </c>
      <c r="Y21" s="174">
        <f t="shared" si="20"/>
        <v>44171.108791938459</v>
      </c>
      <c r="Z21" s="174">
        <f t="shared" si="20"/>
        <v>4280.1462007692317</v>
      </c>
      <c r="AA21" s="174">
        <f t="shared" si="20"/>
        <v>4280.1462007692317</v>
      </c>
      <c r="AB21" s="174">
        <f t="shared" si="20"/>
        <v>47449.1</v>
      </c>
      <c r="AC21" s="174">
        <f t="shared" si="20"/>
        <v>307.67</v>
      </c>
      <c r="AD21" s="174">
        <f t="shared" si="20"/>
        <v>133231.28962936156</v>
      </c>
      <c r="AE21" s="176">
        <f t="shared" si="20"/>
        <v>561245.90970628476</v>
      </c>
    </row>
    <row r="22" spans="1:31" ht="15.75" thickTop="1" x14ac:dyDescent="0.25">
      <c r="A22" s="177"/>
      <c r="B22" s="166"/>
      <c r="C22" s="166"/>
      <c r="D22" s="167"/>
      <c r="E22" s="166"/>
      <c r="F22" s="166"/>
      <c r="G22" s="166"/>
      <c r="H22" s="166"/>
      <c r="I22" s="166"/>
      <c r="J22" s="170"/>
      <c r="K22" s="170"/>
      <c r="L22" s="170"/>
      <c r="M22" s="170"/>
      <c r="N22" s="172"/>
      <c r="O22" s="172"/>
      <c r="P22" s="170"/>
      <c r="Q22" s="170"/>
      <c r="R22" s="170"/>
      <c r="S22" s="170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</row>
    <row r="23" spans="1:31" x14ac:dyDescent="0.25">
      <c r="A23" s="178" t="s">
        <v>23</v>
      </c>
      <c r="B23" s="166"/>
      <c r="C23" s="166"/>
      <c r="D23" s="167"/>
      <c r="E23" s="166"/>
      <c r="F23" s="166"/>
      <c r="G23" s="166"/>
      <c r="H23" s="166"/>
      <c r="I23" s="166"/>
      <c r="J23" s="170"/>
      <c r="K23" s="170"/>
      <c r="L23" s="170"/>
      <c r="M23" s="170"/>
      <c r="N23" s="172"/>
      <c r="O23" s="172"/>
      <c r="P23" s="170"/>
      <c r="Q23" s="170"/>
      <c r="R23" s="170"/>
      <c r="S23" s="170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</row>
    <row r="24" spans="1:31" x14ac:dyDescent="0.25">
      <c r="A24" s="111">
        <v>1</v>
      </c>
      <c r="B24" s="179" t="s">
        <v>133</v>
      </c>
      <c r="C24" s="166"/>
      <c r="D24" s="167"/>
      <c r="E24" s="166"/>
      <c r="F24" s="166"/>
      <c r="G24" s="166"/>
      <c r="H24" s="166"/>
      <c r="I24" s="166"/>
      <c r="J24" s="170"/>
      <c r="K24" s="170"/>
      <c r="L24" s="170"/>
      <c r="M24" s="170"/>
      <c r="N24" s="172"/>
      <c r="O24" s="172"/>
      <c r="P24" s="170"/>
      <c r="Q24" s="170"/>
      <c r="R24" s="170"/>
      <c r="S24" s="170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</row>
    <row r="25" spans="1:31" x14ac:dyDescent="0.25">
      <c r="A25" s="111">
        <v>2</v>
      </c>
      <c r="B25" s="179" t="s">
        <v>134</v>
      </c>
      <c r="C25" s="166"/>
      <c r="D25" s="166"/>
      <c r="E25" s="167"/>
      <c r="F25" s="166"/>
      <c r="G25" s="166"/>
      <c r="H25" s="166"/>
      <c r="I25" s="166"/>
      <c r="J25" s="170"/>
      <c r="K25" s="170"/>
      <c r="L25" s="170"/>
      <c r="M25" s="170"/>
      <c r="N25" s="172"/>
      <c r="O25" s="172"/>
      <c r="P25" s="170"/>
      <c r="Q25" s="170"/>
      <c r="R25" s="170"/>
      <c r="S25" s="170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x14ac:dyDescent="0.25">
      <c r="A26" s="111">
        <v>3</v>
      </c>
      <c r="B26" s="179" t="s">
        <v>135</v>
      </c>
      <c r="C26" s="166"/>
      <c r="D26" s="166"/>
      <c r="E26" s="167"/>
      <c r="F26" s="166"/>
      <c r="G26" s="166"/>
      <c r="H26" s="166"/>
      <c r="I26" s="166"/>
      <c r="J26" s="170"/>
      <c r="K26" s="170"/>
      <c r="L26" s="170"/>
      <c r="M26" s="170"/>
      <c r="N26" s="172"/>
      <c r="O26" s="172"/>
      <c r="P26" s="170"/>
      <c r="Q26" s="170"/>
      <c r="R26" s="170"/>
      <c r="S26" s="170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</row>
    <row r="27" spans="1:31" x14ac:dyDescent="0.25">
      <c r="A27" s="111">
        <v>4</v>
      </c>
      <c r="B27" s="179" t="s">
        <v>136</v>
      </c>
      <c r="C27" s="166"/>
      <c r="D27" s="166"/>
      <c r="E27" s="167"/>
      <c r="F27" s="166"/>
      <c r="G27" s="166"/>
      <c r="H27" s="166"/>
      <c r="I27" s="166"/>
      <c r="J27" s="170"/>
      <c r="K27" s="170"/>
      <c r="L27" s="170"/>
      <c r="M27" s="170"/>
      <c r="N27" s="172"/>
      <c r="O27" s="172"/>
      <c r="P27" s="170"/>
      <c r="Q27" s="170"/>
      <c r="R27" s="170"/>
      <c r="S27" s="170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x14ac:dyDescent="0.25">
      <c r="A28" s="111"/>
      <c r="B28" s="166"/>
      <c r="C28" s="166"/>
      <c r="D28" s="167"/>
      <c r="E28" s="166"/>
      <c r="F28" s="166"/>
      <c r="G28" s="166"/>
      <c r="H28" s="166"/>
      <c r="I28" s="166"/>
      <c r="J28" s="170"/>
      <c r="K28" s="170"/>
      <c r="L28" s="170"/>
      <c r="M28" s="170"/>
      <c r="N28" s="172"/>
      <c r="O28" s="172"/>
      <c r="P28" s="170"/>
      <c r="Q28" s="170"/>
      <c r="R28" s="170"/>
      <c r="S28" s="170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</row>
    <row r="29" spans="1:31" x14ac:dyDescent="0.25">
      <c r="A29" s="111"/>
      <c r="B29" s="166"/>
      <c r="C29" s="166"/>
      <c r="D29" s="167"/>
      <c r="E29" s="166"/>
      <c r="F29" s="166"/>
      <c r="G29" s="166"/>
      <c r="H29" s="166"/>
      <c r="I29" s="166"/>
      <c r="J29" s="170"/>
      <c r="K29" s="170"/>
      <c r="L29" s="170"/>
      <c r="M29" s="170"/>
      <c r="N29" s="172"/>
      <c r="O29" s="172"/>
      <c r="P29" s="170"/>
      <c r="Q29" s="170"/>
      <c r="R29" s="170"/>
      <c r="S29" s="170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</row>
    <row r="30" spans="1:31" ht="18" customHeight="1" x14ac:dyDescent="0.25">
      <c r="A30" s="111">
        <v>5</v>
      </c>
      <c r="B30" s="179" t="s">
        <v>137</v>
      </c>
      <c r="C30" s="166"/>
      <c r="D30" s="167"/>
      <c r="E30" s="166"/>
      <c r="F30" s="166"/>
      <c r="G30" s="166"/>
      <c r="H30" s="166"/>
      <c r="I30" s="166"/>
      <c r="J30" s="170"/>
      <c r="K30" s="170"/>
      <c r="L30" s="170"/>
      <c r="M30" s="170"/>
      <c r="N30" s="172"/>
      <c r="O30" s="172"/>
      <c r="P30" s="170"/>
      <c r="Q30" s="170"/>
      <c r="R30" s="170"/>
      <c r="S30" s="170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</row>
    <row r="31" spans="1:31" x14ac:dyDescent="0.25">
      <c r="A31" s="170"/>
      <c r="B31" s="170"/>
      <c r="C31" s="170"/>
      <c r="D31" s="180"/>
      <c r="E31" s="170"/>
      <c r="F31" s="170"/>
      <c r="G31" s="170"/>
      <c r="H31" s="166"/>
      <c r="I31" s="166"/>
      <c r="J31" s="170"/>
      <c r="K31" s="170"/>
      <c r="L31" s="170"/>
      <c r="M31" s="170"/>
      <c r="N31" s="172"/>
      <c r="O31" s="172"/>
      <c r="P31" s="170"/>
      <c r="Q31" s="170"/>
      <c r="R31" s="170"/>
      <c r="S31" s="170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</row>
    <row r="32" spans="1:31" ht="18" customHeight="1" x14ac:dyDescent="0.25">
      <c r="A32" s="111">
        <v>6</v>
      </c>
      <c r="B32" s="181" t="s">
        <v>138</v>
      </c>
      <c r="C32" s="111"/>
      <c r="D32" s="111"/>
      <c r="E32" s="111"/>
      <c r="F32" s="111"/>
      <c r="G32" s="111"/>
      <c r="H32" s="170"/>
      <c r="I32" s="170"/>
      <c r="J32" s="172"/>
      <c r="K32" s="172"/>
      <c r="L32" s="172"/>
      <c r="M32" s="172"/>
      <c r="N32" s="172"/>
      <c r="O32" s="172"/>
      <c r="P32" s="170"/>
      <c r="Q32" s="170"/>
      <c r="R32" s="170"/>
      <c r="S32" s="170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</row>
    <row r="34" spans="1:31" s="384" customFormat="1" x14ac:dyDescent="0.25"/>
    <row r="35" spans="1:31" ht="18.75" x14ac:dyDescent="0.3">
      <c r="B35" s="182" t="s">
        <v>139</v>
      </c>
      <c r="D35" s="112" t="s">
        <v>140</v>
      </c>
    </row>
    <row r="37" spans="1:3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5"/>
      <c r="K37" s="115"/>
      <c r="L37" s="405" t="s">
        <v>86</v>
      </c>
      <c r="M37" s="406"/>
      <c r="N37" s="116"/>
      <c r="O37" s="116"/>
      <c r="P37" s="117">
        <v>2013</v>
      </c>
      <c r="Q37" s="117">
        <v>2014</v>
      </c>
      <c r="R37" s="117"/>
      <c r="S37" s="117"/>
      <c r="T37" s="118"/>
      <c r="U37" s="119"/>
      <c r="V37" s="119"/>
      <c r="W37" s="120"/>
      <c r="X37" s="407" t="s">
        <v>4</v>
      </c>
      <c r="Y37" s="408"/>
      <c r="Z37" s="408"/>
      <c r="AA37" s="409"/>
      <c r="AB37" s="408" t="s">
        <v>5</v>
      </c>
      <c r="AC37" s="409"/>
      <c r="AD37" s="121"/>
      <c r="AE37" s="118"/>
    </row>
    <row r="38" spans="1:31" ht="64.5" x14ac:dyDescent="0.25">
      <c r="A38" s="122" t="s">
        <v>6</v>
      </c>
      <c r="B38" s="122" t="s">
        <v>87</v>
      </c>
      <c r="C38" s="122" t="s">
        <v>88</v>
      </c>
      <c r="D38" s="123" t="s">
        <v>7</v>
      </c>
      <c r="E38" s="124" t="s">
        <v>89</v>
      </c>
      <c r="F38" s="125" t="s">
        <v>90</v>
      </c>
      <c r="G38" s="124" t="s">
        <v>91</v>
      </c>
      <c r="H38" s="124" t="s">
        <v>8</v>
      </c>
      <c r="I38" s="124" t="s">
        <v>92</v>
      </c>
      <c r="J38" s="126" t="s">
        <v>93</v>
      </c>
      <c r="K38" s="127" t="s">
        <v>94</v>
      </c>
      <c r="L38" s="124" t="s">
        <v>95</v>
      </c>
      <c r="M38" s="124" t="s">
        <v>96</v>
      </c>
      <c r="N38" s="125" t="s">
        <v>97</v>
      </c>
      <c r="O38" s="124" t="s">
        <v>74</v>
      </c>
      <c r="P38" s="124" t="s">
        <v>98</v>
      </c>
      <c r="Q38" s="124" t="s">
        <v>99</v>
      </c>
      <c r="R38" s="128" t="s">
        <v>100</v>
      </c>
      <c r="S38" s="128" t="s">
        <v>101</v>
      </c>
      <c r="T38" s="129" t="s">
        <v>9</v>
      </c>
      <c r="U38" s="129" t="s">
        <v>101</v>
      </c>
      <c r="V38" s="130" t="s">
        <v>102</v>
      </c>
      <c r="W38" s="123" t="s">
        <v>10</v>
      </c>
      <c r="X38" s="131" t="s">
        <v>11</v>
      </c>
      <c r="Y38" s="131" t="s">
        <v>77</v>
      </c>
      <c r="Z38" s="131" t="s">
        <v>12</v>
      </c>
      <c r="AA38" s="131" t="s">
        <v>78</v>
      </c>
      <c r="AB38" s="132" t="s">
        <v>13</v>
      </c>
      <c r="AC38" s="133" t="s">
        <v>14</v>
      </c>
      <c r="AD38" s="134" t="s">
        <v>15</v>
      </c>
      <c r="AE38" s="135" t="s">
        <v>103</v>
      </c>
    </row>
    <row r="39" spans="1:31" ht="39" x14ac:dyDescent="0.25">
      <c r="A39" s="136" t="s">
        <v>104</v>
      </c>
      <c r="B39" s="137" t="s">
        <v>105</v>
      </c>
      <c r="C39" s="385" t="s">
        <v>304</v>
      </c>
      <c r="D39" s="138" t="s">
        <v>106</v>
      </c>
      <c r="E39" s="139" t="s">
        <v>107</v>
      </c>
      <c r="F39" s="140">
        <v>48149</v>
      </c>
      <c r="G39" s="141">
        <v>1819</v>
      </c>
      <c r="H39" s="141">
        <v>9953</v>
      </c>
      <c r="I39" s="142">
        <f>(G39+H39)*1.03</f>
        <v>12125.16</v>
      </c>
      <c r="J39" s="143">
        <v>36377</v>
      </c>
      <c r="K39" s="144">
        <f>J39*1.03</f>
        <v>37468.31</v>
      </c>
      <c r="L39" s="145">
        <f>J39/26/80</f>
        <v>17.488942307692305</v>
      </c>
      <c r="M39" s="145">
        <f>K39/26/80</f>
        <v>18.013610576923078</v>
      </c>
      <c r="N39" s="146">
        <v>696</v>
      </c>
      <c r="O39" s="146">
        <v>1384</v>
      </c>
      <c r="P39" s="147">
        <f>L39*N39</f>
        <v>12172.303846153844</v>
      </c>
      <c r="Q39" s="147">
        <f>M39*O39</f>
        <v>24930.837038461541</v>
      </c>
      <c r="R39" s="148">
        <f>SUM(I39)</f>
        <v>12125.16</v>
      </c>
      <c r="S39" s="148">
        <f>ROUND(R39/V39,2)</f>
        <v>0.25</v>
      </c>
      <c r="T39" s="149">
        <f>SUM(P39:Q39)</f>
        <v>37103.140884615386</v>
      </c>
      <c r="U39" s="150">
        <f>ROUND(T39/V39,2)</f>
        <v>0.75</v>
      </c>
      <c r="V39" s="151">
        <f>SUM(R39+T39)</f>
        <v>49228.300884615383</v>
      </c>
      <c r="W39" s="147">
        <f>ROUND(V39/12,2)</f>
        <v>4102.3599999999997</v>
      </c>
      <c r="X39" s="152">
        <f>R39*0.0765</f>
        <v>927.57474000000002</v>
      </c>
      <c r="Y39" s="152">
        <f>R39*0.1032</f>
        <v>1251.3165119999999</v>
      </c>
      <c r="Z39" s="152">
        <f>R39*0.01</f>
        <v>121.2516</v>
      </c>
      <c r="AA39" s="152">
        <f>R39*0.01</f>
        <v>121.2516</v>
      </c>
      <c r="AB39" s="153">
        <f>ROUND((I39/F39)*4164,2)</f>
        <v>1048.5999999999999</v>
      </c>
      <c r="AC39" s="147">
        <f>ROUND((I39/F39)*27,2)</f>
        <v>6.8</v>
      </c>
      <c r="AD39" s="154">
        <f>SUM(X39:AC39)</f>
        <v>3476.7944520000001</v>
      </c>
      <c r="AE39" s="155">
        <f>R39+AD39</f>
        <v>15601.954452</v>
      </c>
    </row>
    <row r="40" spans="1:31" ht="26.25" x14ac:dyDescent="0.25">
      <c r="A40" s="156" t="s">
        <v>108</v>
      </c>
      <c r="B40" s="137" t="s">
        <v>109</v>
      </c>
      <c r="C40" s="213" t="s">
        <v>304</v>
      </c>
      <c r="D40" s="138" t="s">
        <v>110</v>
      </c>
      <c r="E40" s="139" t="s">
        <v>107</v>
      </c>
      <c r="F40" s="140">
        <v>27015</v>
      </c>
      <c r="G40" s="157">
        <v>1201</v>
      </c>
      <c r="H40" s="157">
        <v>1782</v>
      </c>
      <c r="I40" s="142">
        <f t="shared" ref="I40:I49" si="21">(G40+H40)*1.03</f>
        <v>3072.4900000000002</v>
      </c>
      <c r="J40" s="158">
        <v>24032</v>
      </c>
      <c r="K40" s="144">
        <f t="shared" ref="K40:K50" si="22">J40*1.03</f>
        <v>24752.959999999999</v>
      </c>
      <c r="L40" s="145">
        <f t="shared" ref="L40:M50" si="23">J40/26/80</f>
        <v>11.553846153846154</v>
      </c>
      <c r="M40" s="145">
        <f t="shared" si="23"/>
        <v>11.900461538461538</v>
      </c>
      <c r="N40" s="146">
        <v>696</v>
      </c>
      <c r="O40" s="146">
        <v>1384</v>
      </c>
      <c r="P40" s="147">
        <f t="shared" ref="P40:Q50" si="24">L40*N40</f>
        <v>8041.4769230769225</v>
      </c>
      <c r="Q40" s="147">
        <f t="shared" si="24"/>
        <v>16470.238769230768</v>
      </c>
      <c r="R40" s="148">
        <f t="shared" ref="R40:R50" si="25">SUM(I40)</f>
        <v>3072.4900000000002</v>
      </c>
      <c r="S40" s="148">
        <f t="shared" ref="S40:S50" si="26">ROUND(R40/V40,2)</f>
        <v>0.11</v>
      </c>
      <c r="T40" s="149">
        <f t="shared" ref="T40:T50" si="27">SUM(P40:Q40)</f>
        <v>24511.715692307691</v>
      </c>
      <c r="U40" s="150">
        <f t="shared" ref="U40:U50" si="28">ROUND(T40/V40,2)</f>
        <v>0.89</v>
      </c>
      <c r="V40" s="151">
        <f t="shared" ref="V40:V50" si="29">SUM(R40+T40)</f>
        <v>27584.205692307693</v>
      </c>
      <c r="W40" s="147">
        <f t="shared" ref="W40:W50" si="30">ROUND(V40/12,2)</f>
        <v>2298.6799999999998</v>
      </c>
      <c r="X40" s="152">
        <f t="shared" ref="X40:X50" si="31">R40*0.0765</f>
        <v>235.04548500000001</v>
      </c>
      <c r="Y40" s="152">
        <f t="shared" ref="Y40:Y50" si="32">R40*0.1032</f>
        <v>317.08096800000004</v>
      </c>
      <c r="Z40" s="152">
        <f t="shared" ref="Z40:Z49" si="33">R40*0.01</f>
        <v>30.724900000000002</v>
      </c>
      <c r="AA40" s="152">
        <f t="shared" ref="AA40:AA50" si="34">R40*0.01</f>
        <v>30.724900000000002</v>
      </c>
      <c r="AB40" s="153">
        <f t="shared" ref="AB40:AB50" si="35">ROUND((I40/F40)*4164,2)</f>
        <v>473.58</v>
      </c>
      <c r="AC40" s="147">
        <f t="shared" ref="AC40:AC50" si="36">ROUND((I40/F40)*27,2)</f>
        <v>3.07</v>
      </c>
      <c r="AD40" s="154">
        <f t="shared" ref="AD40:AD50" si="37">SUM(X40:AC40)</f>
        <v>1090.226253</v>
      </c>
      <c r="AE40" s="155">
        <f t="shared" ref="AE40:AE50" si="38">R40+AD40</f>
        <v>4162.7162530000005</v>
      </c>
    </row>
    <row r="41" spans="1:31" ht="26.25" x14ac:dyDescent="0.25">
      <c r="A41" s="156" t="s">
        <v>17</v>
      </c>
      <c r="B41" s="137" t="s">
        <v>111</v>
      </c>
      <c r="C41" s="213" t="s">
        <v>304</v>
      </c>
      <c r="D41" s="138" t="s">
        <v>110</v>
      </c>
      <c r="E41" s="139" t="s">
        <v>107</v>
      </c>
      <c r="F41" s="140">
        <v>27016</v>
      </c>
      <c r="G41" s="157">
        <v>0</v>
      </c>
      <c r="H41" s="159">
        <v>0</v>
      </c>
      <c r="I41" s="142">
        <f t="shared" si="21"/>
        <v>0</v>
      </c>
      <c r="J41" s="158">
        <v>27016</v>
      </c>
      <c r="K41" s="144">
        <f t="shared" si="22"/>
        <v>27826.48</v>
      </c>
      <c r="L41" s="145">
        <f t="shared" si="23"/>
        <v>12.988461538461539</v>
      </c>
      <c r="M41" s="145">
        <f t="shared" si="23"/>
        <v>13.378115384615384</v>
      </c>
      <c r="N41" s="146">
        <v>696</v>
      </c>
      <c r="O41" s="146">
        <v>1384</v>
      </c>
      <c r="P41" s="147">
        <f t="shared" si="24"/>
        <v>9039.9692307692312</v>
      </c>
      <c r="Q41" s="147">
        <f t="shared" si="24"/>
        <v>18515.311692307692</v>
      </c>
      <c r="R41" s="148">
        <f t="shared" si="25"/>
        <v>0</v>
      </c>
      <c r="S41" s="148">
        <f t="shared" si="26"/>
        <v>0</v>
      </c>
      <c r="T41" s="149">
        <f t="shared" si="27"/>
        <v>27555.280923076924</v>
      </c>
      <c r="U41" s="150">
        <f t="shared" si="28"/>
        <v>1</v>
      </c>
      <c r="V41" s="151">
        <f t="shared" si="29"/>
        <v>27555.280923076924</v>
      </c>
      <c r="W41" s="147">
        <f t="shared" si="30"/>
        <v>2296.27</v>
      </c>
      <c r="X41" s="152">
        <f t="shared" si="31"/>
        <v>0</v>
      </c>
      <c r="Y41" s="152">
        <f t="shared" si="32"/>
        <v>0</v>
      </c>
      <c r="Z41" s="152">
        <f t="shared" si="33"/>
        <v>0</v>
      </c>
      <c r="AA41" s="152">
        <f t="shared" si="34"/>
        <v>0</v>
      </c>
      <c r="AB41" s="153">
        <f t="shared" si="35"/>
        <v>0</v>
      </c>
      <c r="AC41" s="147">
        <f t="shared" si="36"/>
        <v>0</v>
      </c>
      <c r="AD41" s="154">
        <f t="shared" si="37"/>
        <v>0</v>
      </c>
      <c r="AE41" s="155">
        <f t="shared" si="38"/>
        <v>0</v>
      </c>
    </row>
    <row r="42" spans="1:31" ht="26.25" x14ac:dyDescent="0.25">
      <c r="A42" s="156" t="s">
        <v>19</v>
      </c>
      <c r="B42" s="137" t="s">
        <v>112</v>
      </c>
      <c r="C42" s="213" t="s">
        <v>304</v>
      </c>
      <c r="D42" s="138" t="s">
        <v>113</v>
      </c>
      <c r="E42" s="139" t="s">
        <v>107</v>
      </c>
      <c r="F42" s="140">
        <v>24912</v>
      </c>
      <c r="G42" s="157">
        <v>0</v>
      </c>
      <c r="H42" s="159">
        <v>0</v>
      </c>
      <c r="I42" s="142">
        <f t="shared" si="21"/>
        <v>0</v>
      </c>
      <c r="J42" s="158">
        <v>24912</v>
      </c>
      <c r="K42" s="144">
        <f t="shared" si="22"/>
        <v>25659.360000000001</v>
      </c>
      <c r="L42" s="145">
        <f t="shared" si="23"/>
        <v>11.976923076923077</v>
      </c>
      <c r="M42" s="145">
        <f t="shared" si="23"/>
        <v>12.33623076923077</v>
      </c>
      <c r="N42" s="146">
        <v>696</v>
      </c>
      <c r="O42" s="146">
        <v>1384</v>
      </c>
      <c r="P42" s="147">
        <f t="shared" si="24"/>
        <v>8335.9384615384624</v>
      </c>
      <c r="Q42" s="147">
        <f t="shared" si="24"/>
        <v>17073.343384615386</v>
      </c>
      <c r="R42" s="148">
        <f t="shared" si="25"/>
        <v>0</v>
      </c>
      <c r="S42" s="148">
        <f t="shared" si="26"/>
        <v>0</v>
      </c>
      <c r="T42" s="149">
        <f t="shared" si="27"/>
        <v>25409.281846153848</v>
      </c>
      <c r="U42" s="150">
        <f t="shared" si="28"/>
        <v>1</v>
      </c>
      <c r="V42" s="151">
        <f t="shared" si="29"/>
        <v>25409.281846153848</v>
      </c>
      <c r="W42" s="147">
        <f t="shared" si="30"/>
        <v>2117.44</v>
      </c>
      <c r="X42" s="152">
        <f t="shared" si="31"/>
        <v>0</v>
      </c>
      <c r="Y42" s="152">
        <f t="shared" si="32"/>
        <v>0</v>
      </c>
      <c r="Z42" s="152">
        <f t="shared" si="33"/>
        <v>0</v>
      </c>
      <c r="AA42" s="152">
        <f t="shared" si="34"/>
        <v>0</v>
      </c>
      <c r="AB42" s="153">
        <f t="shared" si="35"/>
        <v>0</v>
      </c>
      <c r="AC42" s="147">
        <f t="shared" si="36"/>
        <v>0</v>
      </c>
      <c r="AD42" s="154">
        <f t="shared" si="37"/>
        <v>0</v>
      </c>
      <c r="AE42" s="155">
        <f t="shared" si="38"/>
        <v>0</v>
      </c>
    </row>
    <row r="43" spans="1:31" ht="26.25" x14ac:dyDescent="0.25">
      <c r="A43" s="156" t="s">
        <v>21</v>
      </c>
      <c r="B43" s="137" t="s">
        <v>114</v>
      </c>
      <c r="C43" s="213" t="s">
        <v>304</v>
      </c>
      <c r="D43" s="138" t="s">
        <v>113</v>
      </c>
      <c r="E43" s="160" t="s">
        <v>115</v>
      </c>
      <c r="F43" s="140">
        <v>24912</v>
      </c>
      <c r="G43" s="157">
        <v>0</v>
      </c>
      <c r="H43" s="159">
        <v>0</v>
      </c>
      <c r="I43" s="142">
        <f t="shared" si="21"/>
        <v>0</v>
      </c>
      <c r="J43" s="158">
        <v>24912</v>
      </c>
      <c r="K43" s="144">
        <f t="shared" si="22"/>
        <v>25659.360000000001</v>
      </c>
      <c r="L43" s="145">
        <f t="shared" si="23"/>
        <v>11.976923076923077</v>
      </c>
      <c r="M43" s="145">
        <f t="shared" si="23"/>
        <v>12.33623076923077</v>
      </c>
      <c r="N43" s="146">
        <v>696</v>
      </c>
      <c r="O43" s="146">
        <v>1384</v>
      </c>
      <c r="P43" s="147">
        <f t="shared" si="24"/>
        <v>8335.9384615384624</v>
      </c>
      <c r="Q43" s="147">
        <f t="shared" si="24"/>
        <v>17073.343384615386</v>
      </c>
      <c r="R43" s="148">
        <f t="shared" si="25"/>
        <v>0</v>
      </c>
      <c r="S43" s="148">
        <f t="shared" si="26"/>
        <v>0</v>
      </c>
      <c r="T43" s="149">
        <f t="shared" si="27"/>
        <v>25409.281846153848</v>
      </c>
      <c r="U43" s="150">
        <f t="shared" si="28"/>
        <v>1</v>
      </c>
      <c r="V43" s="151">
        <f t="shared" si="29"/>
        <v>25409.281846153848</v>
      </c>
      <c r="W43" s="147">
        <f t="shared" si="30"/>
        <v>2117.44</v>
      </c>
      <c r="X43" s="152">
        <f t="shared" si="31"/>
        <v>0</v>
      </c>
      <c r="Y43" s="152">
        <f t="shared" si="32"/>
        <v>0</v>
      </c>
      <c r="Z43" s="152">
        <f t="shared" si="33"/>
        <v>0</v>
      </c>
      <c r="AA43" s="152">
        <f t="shared" si="34"/>
        <v>0</v>
      </c>
      <c r="AB43" s="153">
        <f t="shared" si="35"/>
        <v>0</v>
      </c>
      <c r="AC43" s="147">
        <f t="shared" si="36"/>
        <v>0</v>
      </c>
      <c r="AD43" s="154">
        <f t="shared" si="37"/>
        <v>0</v>
      </c>
      <c r="AE43" s="155">
        <f t="shared" si="38"/>
        <v>0</v>
      </c>
    </row>
    <row r="44" spans="1:31" ht="26.25" x14ac:dyDescent="0.25">
      <c r="A44" s="156" t="s">
        <v>116</v>
      </c>
      <c r="B44" s="137" t="s">
        <v>117</v>
      </c>
      <c r="C44" s="213" t="s">
        <v>304</v>
      </c>
      <c r="D44" s="138" t="s">
        <v>118</v>
      </c>
      <c r="E44" s="160" t="s">
        <v>119</v>
      </c>
      <c r="F44" s="140">
        <v>70748</v>
      </c>
      <c r="G44" s="157">
        <v>0</v>
      </c>
      <c r="H44" s="159">
        <v>0</v>
      </c>
      <c r="I44" s="142">
        <f t="shared" si="21"/>
        <v>0</v>
      </c>
      <c r="J44" s="158">
        <v>70748</v>
      </c>
      <c r="K44" s="144">
        <f t="shared" si="22"/>
        <v>72870.44</v>
      </c>
      <c r="L44" s="145">
        <f t="shared" si="23"/>
        <v>34.013461538461534</v>
      </c>
      <c r="M44" s="145">
        <f t="shared" si="23"/>
        <v>35.033865384615389</v>
      </c>
      <c r="N44" s="146">
        <v>696</v>
      </c>
      <c r="O44" s="146">
        <v>1384</v>
      </c>
      <c r="P44" s="147">
        <f t="shared" si="24"/>
        <v>23673.369230769229</v>
      </c>
      <c r="Q44" s="147">
        <f t="shared" si="24"/>
        <v>48486.8696923077</v>
      </c>
      <c r="R44" s="148">
        <f t="shared" si="25"/>
        <v>0</v>
      </c>
      <c r="S44" s="148">
        <f t="shared" si="26"/>
        <v>0</v>
      </c>
      <c r="T44" s="149">
        <f t="shared" si="27"/>
        <v>72160.238923076933</v>
      </c>
      <c r="U44" s="150">
        <f t="shared" si="28"/>
        <v>1</v>
      </c>
      <c r="V44" s="151">
        <f t="shared" si="29"/>
        <v>72160.238923076933</v>
      </c>
      <c r="W44" s="147">
        <f t="shared" si="30"/>
        <v>6013.35</v>
      </c>
      <c r="X44" s="152">
        <f t="shared" si="31"/>
        <v>0</v>
      </c>
      <c r="Y44" s="152">
        <f t="shared" si="32"/>
        <v>0</v>
      </c>
      <c r="Z44" s="152">
        <f t="shared" si="33"/>
        <v>0</v>
      </c>
      <c r="AA44" s="152">
        <f t="shared" si="34"/>
        <v>0</v>
      </c>
      <c r="AB44" s="153">
        <f t="shared" si="35"/>
        <v>0</v>
      </c>
      <c r="AC44" s="147">
        <f t="shared" si="36"/>
        <v>0</v>
      </c>
      <c r="AD44" s="154">
        <f t="shared" si="37"/>
        <v>0</v>
      </c>
      <c r="AE44" s="155">
        <f t="shared" si="38"/>
        <v>0</v>
      </c>
    </row>
    <row r="45" spans="1:31" ht="39" x14ac:dyDescent="0.25">
      <c r="A45" s="156" t="s">
        <v>120</v>
      </c>
      <c r="B45" s="137" t="s">
        <v>121</v>
      </c>
      <c r="C45" s="213" t="s">
        <v>304</v>
      </c>
      <c r="D45" s="138" t="s">
        <v>122</v>
      </c>
      <c r="E45" s="160" t="s">
        <v>123</v>
      </c>
      <c r="F45" s="140">
        <v>60655</v>
      </c>
      <c r="G45" s="157">
        <v>0</v>
      </c>
      <c r="H45" s="159">
        <v>0</v>
      </c>
      <c r="I45" s="142">
        <f t="shared" si="21"/>
        <v>0</v>
      </c>
      <c r="J45" s="158">
        <v>60655</v>
      </c>
      <c r="K45" s="144">
        <f t="shared" si="22"/>
        <v>62474.65</v>
      </c>
      <c r="L45" s="145">
        <f t="shared" si="23"/>
        <v>29.16105769230769</v>
      </c>
      <c r="M45" s="145">
        <f t="shared" si="23"/>
        <v>30.035889423076924</v>
      </c>
      <c r="N45" s="146">
        <v>696</v>
      </c>
      <c r="O45" s="146">
        <v>1384</v>
      </c>
      <c r="P45" s="147">
        <f t="shared" si="24"/>
        <v>20296.096153846152</v>
      </c>
      <c r="Q45" s="147">
        <f t="shared" si="24"/>
        <v>41569.670961538461</v>
      </c>
      <c r="R45" s="148">
        <f t="shared" si="25"/>
        <v>0</v>
      </c>
      <c r="S45" s="148">
        <f t="shared" si="26"/>
        <v>0</v>
      </c>
      <c r="T45" s="149">
        <f t="shared" si="27"/>
        <v>61865.767115384617</v>
      </c>
      <c r="U45" s="150">
        <f t="shared" si="28"/>
        <v>1</v>
      </c>
      <c r="V45" s="151">
        <f t="shared" si="29"/>
        <v>61865.767115384617</v>
      </c>
      <c r="W45" s="147">
        <f t="shared" si="30"/>
        <v>5155.4799999999996</v>
      </c>
      <c r="X45" s="152">
        <f t="shared" si="31"/>
        <v>0</v>
      </c>
      <c r="Y45" s="152">
        <f t="shared" si="32"/>
        <v>0</v>
      </c>
      <c r="Z45" s="152">
        <f t="shared" si="33"/>
        <v>0</v>
      </c>
      <c r="AA45" s="152">
        <f t="shared" si="34"/>
        <v>0</v>
      </c>
      <c r="AB45" s="153">
        <f t="shared" si="35"/>
        <v>0</v>
      </c>
      <c r="AC45" s="147">
        <f t="shared" si="36"/>
        <v>0</v>
      </c>
      <c r="AD45" s="154">
        <f t="shared" si="37"/>
        <v>0</v>
      </c>
      <c r="AE45" s="155">
        <f t="shared" si="38"/>
        <v>0</v>
      </c>
    </row>
    <row r="46" spans="1:31" x14ac:dyDescent="0.25">
      <c r="A46" s="156" t="s">
        <v>124</v>
      </c>
      <c r="B46" s="137" t="s">
        <v>125</v>
      </c>
      <c r="C46" s="213" t="s">
        <v>304</v>
      </c>
      <c r="D46" s="138" t="s">
        <v>126</v>
      </c>
      <c r="E46" s="160" t="s">
        <v>127</v>
      </c>
      <c r="F46" s="140">
        <v>26330</v>
      </c>
      <c r="G46" s="157">
        <v>0</v>
      </c>
      <c r="H46" s="159">
        <v>0</v>
      </c>
      <c r="I46" s="142">
        <f t="shared" si="21"/>
        <v>0</v>
      </c>
      <c r="J46" s="158">
        <v>26330</v>
      </c>
      <c r="K46" s="144">
        <f t="shared" si="22"/>
        <v>27119.9</v>
      </c>
      <c r="L46" s="145">
        <f t="shared" si="23"/>
        <v>12.658653846153847</v>
      </c>
      <c r="M46" s="145">
        <f t="shared" si="23"/>
        <v>13.038413461538463</v>
      </c>
      <c r="N46" s="146">
        <v>696</v>
      </c>
      <c r="O46" s="146">
        <v>1384</v>
      </c>
      <c r="P46" s="147">
        <f t="shared" si="24"/>
        <v>8810.423076923078</v>
      </c>
      <c r="Q46" s="147">
        <f t="shared" si="24"/>
        <v>18045.164230769231</v>
      </c>
      <c r="R46" s="148">
        <f t="shared" si="25"/>
        <v>0</v>
      </c>
      <c r="S46" s="148">
        <f t="shared" si="26"/>
        <v>0</v>
      </c>
      <c r="T46" s="149">
        <f t="shared" si="27"/>
        <v>26855.587307692309</v>
      </c>
      <c r="U46" s="150">
        <f t="shared" si="28"/>
        <v>1</v>
      </c>
      <c r="V46" s="151">
        <f t="shared" si="29"/>
        <v>26855.587307692309</v>
      </c>
      <c r="W46" s="147">
        <f t="shared" si="30"/>
        <v>2237.9699999999998</v>
      </c>
      <c r="X46" s="152">
        <f t="shared" si="31"/>
        <v>0</v>
      </c>
      <c r="Y46" s="152">
        <f t="shared" si="32"/>
        <v>0</v>
      </c>
      <c r="Z46" s="152">
        <f t="shared" si="33"/>
        <v>0</v>
      </c>
      <c r="AA46" s="152">
        <f t="shared" si="34"/>
        <v>0</v>
      </c>
      <c r="AB46" s="153">
        <f t="shared" si="35"/>
        <v>0</v>
      </c>
      <c r="AC46" s="147">
        <f t="shared" si="36"/>
        <v>0</v>
      </c>
      <c r="AD46" s="154">
        <f t="shared" si="37"/>
        <v>0</v>
      </c>
      <c r="AE46" s="155">
        <f t="shared" si="38"/>
        <v>0</v>
      </c>
    </row>
    <row r="47" spans="1:31" ht="36.75" x14ac:dyDescent="0.25">
      <c r="A47" s="156" t="s">
        <v>128</v>
      </c>
      <c r="B47" s="137" t="s">
        <v>129</v>
      </c>
      <c r="C47" s="213" t="s">
        <v>304</v>
      </c>
      <c r="D47" s="183" t="s">
        <v>130</v>
      </c>
      <c r="E47" s="160" t="s">
        <v>115</v>
      </c>
      <c r="F47" s="140">
        <v>35391</v>
      </c>
      <c r="G47" s="157">
        <v>0</v>
      </c>
      <c r="H47" s="159">
        <v>0</v>
      </c>
      <c r="I47" s="142">
        <f t="shared" si="21"/>
        <v>0</v>
      </c>
      <c r="J47" s="158">
        <v>35391</v>
      </c>
      <c r="K47" s="144">
        <f t="shared" si="22"/>
        <v>36452.730000000003</v>
      </c>
      <c r="L47" s="145">
        <f t="shared" si="23"/>
        <v>17.014903846153846</v>
      </c>
      <c r="M47" s="145">
        <f t="shared" si="23"/>
        <v>17.525350961538464</v>
      </c>
      <c r="N47" s="146">
        <v>696</v>
      </c>
      <c r="O47" s="146">
        <v>1384</v>
      </c>
      <c r="P47" s="147">
        <f t="shared" si="24"/>
        <v>11842.373076923077</v>
      </c>
      <c r="Q47" s="147">
        <f t="shared" si="24"/>
        <v>24255.085730769235</v>
      </c>
      <c r="R47" s="148">
        <f t="shared" si="25"/>
        <v>0</v>
      </c>
      <c r="S47" s="148">
        <f t="shared" si="26"/>
        <v>0</v>
      </c>
      <c r="T47" s="149">
        <f t="shared" si="27"/>
        <v>36097.45880769231</v>
      </c>
      <c r="U47" s="150">
        <f t="shared" si="28"/>
        <v>1</v>
      </c>
      <c r="V47" s="151">
        <f t="shared" si="29"/>
        <v>36097.45880769231</v>
      </c>
      <c r="W47" s="147">
        <f t="shared" si="30"/>
        <v>3008.12</v>
      </c>
      <c r="X47" s="152">
        <f t="shared" si="31"/>
        <v>0</v>
      </c>
      <c r="Y47" s="152">
        <f t="shared" si="32"/>
        <v>0</v>
      </c>
      <c r="Z47" s="152">
        <f t="shared" si="33"/>
        <v>0</v>
      </c>
      <c r="AA47" s="152">
        <f t="shared" si="34"/>
        <v>0</v>
      </c>
      <c r="AB47" s="153">
        <f t="shared" si="35"/>
        <v>0</v>
      </c>
      <c r="AC47" s="147">
        <f t="shared" si="36"/>
        <v>0</v>
      </c>
      <c r="AD47" s="154">
        <f t="shared" si="37"/>
        <v>0</v>
      </c>
      <c r="AE47" s="155">
        <f t="shared" si="38"/>
        <v>0</v>
      </c>
    </row>
    <row r="48" spans="1:31" x14ac:dyDescent="0.25">
      <c r="A48" s="156"/>
      <c r="B48" s="137"/>
      <c r="C48" s="212" t="s">
        <v>178</v>
      </c>
      <c r="D48" s="138" t="s">
        <v>131</v>
      </c>
      <c r="E48" s="164"/>
      <c r="F48" s="140">
        <v>44794</v>
      </c>
      <c r="G48" s="157">
        <v>1792</v>
      </c>
      <c r="H48" s="159">
        <v>9407</v>
      </c>
      <c r="I48" s="142">
        <f t="shared" si="21"/>
        <v>11534.970000000001</v>
      </c>
      <c r="J48" s="158">
        <v>33595</v>
      </c>
      <c r="K48" s="144">
        <f t="shared" si="22"/>
        <v>34602.85</v>
      </c>
      <c r="L48" s="145">
        <f t="shared" si="23"/>
        <v>16.151442307692307</v>
      </c>
      <c r="M48" s="145">
        <f t="shared" si="23"/>
        <v>16.635985576923076</v>
      </c>
      <c r="N48" s="146">
        <v>696</v>
      </c>
      <c r="O48" s="146">
        <v>1384</v>
      </c>
      <c r="P48" s="147">
        <f t="shared" si="24"/>
        <v>11241.403846153846</v>
      </c>
      <c r="Q48" s="147">
        <f t="shared" si="24"/>
        <v>23024.204038461539</v>
      </c>
      <c r="R48" s="148">
        <f t="shared" si="25"/>
        <v>11534.970000000001</v>
      </c>
      <c r="S48" s="148">
        <f t="shared" si="26"/>
        <v>0.25</v>
      </c>
      <c r="T48" s="149">
        <f t="shared" si="27"/>
        <v>34265.607884615383</v>
      </c>
      <c r="U48" s="150">
        <f t="shared" si="28"/>
        <v>0.75</v>
      </c>
      <c r="V48" s="151">
        <f t="shared" si="29"/>
        <v>45800.577884615384</v>
      </c>
      <c r="W48" s="147">
        <f t="shared" si="30"/>
        <v>3816.71</v>
      </c>
      <c r="X48" s="152">
        <f t="shared" si="31"/>
        <v>882.42520500000012</v>
      </c>
      <c r="Y48" s="152">
        <f t="shared" si="32"/>
        <v>1190.4089040000001</v>
      </c>
      <c r="Z48" s="152">
        <f t="shared" si="33"/>
        <v>115.34970000000001</v>
      </c>
      <c r="AA48" s="152">
        <f t="shared" si="34"/>
        <v>115.34970000000001</v>
      </c>
      <c r="AB48" s="153">
        <f t="shared" si="35"/>
        <v>1072.28</v>
      </c>
      <c r="AC48" s="147">
        <f t="shared" si="36"/>
        <v>6.95</v>
      </c>
      <c r="AD48" s="154">
        <f t="shared" si="37"/>
        <v>3382.7635090000003</v>
      </c>
      <c r="AE48" s="155">
        <f t="shared" si="38"/>
        <v>14917.733509000002</v>
      </c>
    </row>
    <row r="49" spans="1:31" x14ac:dyDescent="0.25">
      <c r="A49" s="156"/>
      <c r="B49" s="137"/>
      <c r="C49" s="213" t="s">
        <v>178</v>
      </c>
      <c r="D49" s="138" t="s">
        <v>126</v>
      </c>
      <c r="E49" s="164"/>
      <c r="F49" s="140">
        <v>26014</v>
      </c>
      <c r="G49" s="157">
        <v>0</v>
      </c>
      <c r="H49" s="159">
        <v>0</v>
      </c>
      <c r="I49" s="142">
        <f t="shared" si="21"/>
        <v>0</v>
      </c>
      <c r="J49" s="158">
        <f>SUM(F49)</f>
        <v>26014</v>
      </c>
      <c r="K49" s="144">
        <f t="shared" si="22"/>
        <v>26794.420000000002</v>
      </c>
      <c r="L49" s="145">
        <f t="shared" si="23"/>
        <v>12.506730769230769</v>
      </c>
      <c r="M49" s="145">
        <f t="shared" si="23"/>
        <v>12.881932692307695</v>
      </c>
      <c r="N49" s="146">
        <v>696</v>
      </c>
      <c r="O49" s="146">
        <v>1384</v>
      </c>
      <c r="P49" s="147">
        <f t="shared" si="24"/>
        <v>8704.6846153846145</v>
      </c>
      <c r="Q49" s="147">
        <f t="shared" si="24"/>
        <v>17828.59484615385</v>
      </c>
      <c r="R49" s="148">
        <f t="shared" si="25"/>
        <v>0</v>
      </c>
      <c r="S49" s="148">
        <f t="shared" si="26"/>
        <v>0</v>
      </c>
      <c r="T49" s="149">
        <f t="shared" si="27"/>
        <v>26533.279461538463</v>
      </c>
      <c r="U49" s="150">
        <f t="shared" si="28"/>
        <v>1</v>
      </c>
      <c r="V49" s="151">
        <f t="shared" si="29"/>
        <v>26533.279461538463</v>
      </c>
      <c r="W49" s="147">
        <f t="shared" si="30"/>
        <v>2211.11</v>
      </c>
      <c r="X49" s="152">
        <f t="shared" si="31"/>
        <v>0</v>
      </c>
      <c r="Y49" s="152">
        <f t="shared" si="32"/>
        <v>0</v>
      </c>
      <c r="Z49" s="152">
        <f t="shared" si="33"/>
        <v>0</v>
      </c>
      <c r="AA49" s="152">
        <f t="shared" si="34"/>
        <v>0</v>
      </c>
      <c r="AB49" s="153">
        <f t="shared" si="35"/>
        <v>0</v>
      </c>
      <c r="AC49" s="147">
        <f t="shared" si="36"/>
        <v>0</v>
      </c>
      <c r="AD49" s="154">
        <f t="shared" si="37"/>
        <v>0</v>
      </c>
      <c r="AE49" s="155">
        <f t="shared" si="38"/>
        <v>0</v>
      </c>
    </row>
    <row r="50" spans="1:31" x14ac:dyDescent="0.25">
      <c r="A50" s="156"/>
      <c r="B50" s="137"/>
      <c r="C50" s="184" t="s">
        <v>178</v>
      </c>
      <c r="D50" s="138" t="s">
        <v>131</v>
      </c>
      <c r="E50" s="164"/>
      <c r="F50" s="140">
        <v>44794</v>
      </c>
      <c r="G50" s="157">
        <v>0</v>
      </c>
      <c r="H50" s="159">
        <v>0</v>
      </c>
      <c r="I50" s="142">
        <v>0</v>
      </c>
      <c r="J50" s="158">
        <f>SUM(F50)</f>
        <v>44794</v>
      </c>
      <c r="K50" s="144">
        <f t="shared" si="22"/>
        <v>46137.82</v>
      </c>
      <c r="L50" s="145">
        <f t="shared" si="23"/>
        <v>21.535576923076924</v>
      </c>
      <c r="M50" s="145">
        <f t="shared" si="23"/>
        <v>22.18164423076923</v>
      </c>
      <c r="N50" s="146">
        <v>696</v>
      </c>
      <c r="O50" s="146">
        <v>1384</v>
      </c>
      <c r="P50" s="147">
        <f t="shared" si="24"/>
        <v>14988.761538461538</v>
      </c>
      <c r="Q50" s="147">
        <f t="shared" si="24"/>
        <v>30699.395615384616</v>
      </c>
      <c r="R50" s="148">
        <f t="shared" si="25"/>
        <v>0</v>
      </c>
      <c r="S50" s="148">
        <f t="shared" si="26"/>
        <v>0</v>
      </c>
      <c r="T50" s="149">
        <f t="shared" si="27"/>
        <v>45688.157153846158</v>
      </c>
      <c r="U50" s="150">
        <f t="shared" si="28"/>
        <v>1</v>
      </c>
      <c r="V50" s="151">
        <f t="shared" si="29"/>
        <v>45688.157153846158</v>
      </c>
      <c r="W50" s="147">
        <f t="shared" si="30"/>
        <v>3807.35</v>
      </c>
      <c r="X50" s="152">
        <f t="shared" si="31"/>
        <v>0</v>
      </c>
      <c r="Y50" s="152">
        <f t="shared" si="32"/>
        <v>0</v>
      </c>
      <c r="Z50" s="152">
        <f>R50*0.01</f>
        <v>0</v>
      </c>
      <c r="AA50" s="152">
        <f t="shared" si="34"/>
        <v>0</v>
      </c>
      <c r="AB50" s="153">
        <f t="shared" si="35"/>
        <v>0</v>
      </c>
      <c r="AC50" s="147">
        <f t="shared" si="36"/>
        <v>0</v>
      </c>
      <c r="AD50" s="154">
        <f t="shared" si="37"/>
        <v>0</v>
      </c>
      <c r="AE50" s="155">
        <f t="shared" si="38"/>
        <v>0</v>
      </c>
    </row>
    <row r="51" spans="1:31" ht="15.75" thickBot="1" x14ac:dyDescent="0.3">
      <c r="A51" s="166"/>
      <c r="B51" s="166"/>
      <c r="C51" s="166"/>
      <c r="D51" s="167"/>
      <c r="E51" s="166"/>
      <c r="F51" s="168">
        <f t="shared" ref="F51:K51" si="39">SUM(F39:F48)</f>
        <v>389922</v>
      </c>
      <c r="G51" s="168">
        <f t="shared" si="39"/>
        <v>4812</v>
      </c>
      <c r="H51" s="168">
        <f t="shared" si="39"/>
        <v>21142</v>
      </c>
      <c r="I51" s="169">
        <f t="shared" si="39"/>
        <v>26732.620000000003</v>
      </c>
      <c r="J51" s="168">
        <f t="shared" si="39"/>
        <v>363968</v>
      </c>
      <c r="K51" s="169">
        <f t="shared" si="39"/>
        <v>374887.04</v>
      </c>
      <c r="L51" s="170"/>
      <c r="M51" s="171"/>
      <c r="N51" s="172"/>
      <c r="O51" s="172"/>
      <c r="P51" s="170"/>
      <c r="Q51" s="170"/>
      <c r="R51" s="169">
        <f>SUM(R39:R50)</f>
        <v>26732.620000000003</v>
      </c>
      <c r="S51" s="173"/>
      <c r="T51" s="174">
        <f>SUM(T39:T50)</f>
        <v>443454.7978461539</v>
      </c>
      <c r="U51" s="185"/>
      <c r="V51" s="185"/>
      <c r="W51" s="186">
        <f t="shared" ref="W51" si="40">SUM(W39:W47)</f>
        <v>29347.11</v>
      </c>
      <c r="X51" s="187">
        <f>SUM(X39:X50)</f>
        <v>2045.0454300000001</v>
      </c>
      <c r="Y51" s="187">
        <f t="shared" ref="Y51:AC51" si="41">SUM(Y39:Y50)</f>
        <v>2758.806384</v>
      </c>
      <c r="Z51" s="187">
        <f t="shared" si="41"/>
        <v>267.32619999999997</v>
      </c>
      <c r="AA51" s="187">
        <f t="shared" si="41"/>
        <v>267.32619999999997</v>
      </c>
      <c r="AB51" s="187">
        <f t="shared" si="41"/>
        <v>2594.46</v>
      </c>
      <c r="AC51" s="187">
        <f t="shared" si="41"/>
        <v>16.82</v>
      </c>
      <c r="AD51" s="188">
        <f>SUM(AD39:AD50)</f>
        <v>7949.7842140000002</v>
      </c>
      <c r="AE51" s="189">
        <f>SUM(AE39:AE50)</f>
        <v>34682.404214000002</v>
      </c>
    </row>
    <row r="52" spans="1:31" ht="15.75" thickTop="1" x14ac:dyDescent="0.25"/>
    <row r="53" spans="1:31" x14ac:dyDescent="0.25">
      <c r="C53" s="177" t="s">
        <v>141</v>
      </c>
    </row>
    <row r="54" spans="1:3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5"/>
      <c r="K54" s="115"/>
      <c r="L54" s="405" t="s">
        <v>86</v>
      </c>
      <c r="M54" s="406"/>
      <c r="N54" s="116"/>
      <c r="O54" s="116"/>
      <c r="P54" s="117">
        <v>2013</v>
      </c>
      <c r="Q54" s="117">
        <v>2014</v>
      </c>
      <c r="R54" s="117"/>
      <c r="S54" s="117"/>
      <c r="T54" s="118"/>
      <c r="U54" s="119"/>
      <c r="V54" s="119"/>
      <c r="W54" s="120"/>
      <c r="X54" s="407" t="s">
        <v>4</v>
      </c>
      <c r="Y54" s="408"/>
      <c r="Z54" s="408"/>
      <c r="AA54" s="409"/>
      <c r="AB54" s="408" t="s">
        <v>5</v>
      </c>
      <c r="AC54" s="409"/>
      <c r="AD54" s="121"/>
      <c r="AE54" s="118"/>
    </row>
    <row r="55" spans="1:31" ht="64.5" x14ac:dyDescent="0.25">
      <c r="A55" s="122" t="s">
        <v>6</v>
      </c>
      <c r="B55" s="122" t="s">
        <v>87</v>
      </c>
      <c r="C55" s="122" t="s">
        <v>88</v>
      </c>
      <c r="D55" s="123" t="s">
        <v>7</v>
      </c>
      <c r="E55" s="124" t="s">
        <v>89</v>
      </c>
      <c r="F55" s="125" t="s">
        <v>90</v>
      </c>
      <c r="G55" s="124" t="s">
        <v>91</v>
      </c>
      <c r="H55" s="124" t="s">
        <v>8</v>
      </c>
      <c r="I55" s="124" t="s">
        <v>92</v>
      </c>
      <c r="J55" s="126" t="s">
        <v>142</v>
      </c>
      <c r="K55" s="127" t="s">
        <v>94</v>
      </c>
      <c r="L55" s="124" t="s">
        <v>95</v>
      </c>
      <c r="M55" s="124" t="s">
        <v>96</v>
      </c>
      <c r="N55" s="125" t="s">
        <v>97</v>
      </c>
      <c r="O55" s="124" t="s">
        <v>74</v>
      </c>
      <c r="P55" s="124" t="s">
        <v>98</v>
      </c>
      <c r="Q55" s="124" t="s">
        <v>99</v>
      </c>
      <c r="R55" s="128" t="s">
        <v>100</v>
      </c>
      <c r="S55" s="128" t="s">
        <v>101</v>
      </c>
      <c r="T55" s="129" t="s">
        <v>9</v>
      </c>
      <c r="U55" s="129" t="s">
        <v>101</v>
      </c>
      <c r="V55" s="130" t="s">
        <v>102</v>
      </c>
      <c r="W55" s="123" t="s">
        <v>10</v>
      </c>
      <c r="X55" s="131" t="s">
        <v>11</v>
      </c>
      <c r="Y55" s="131" t="s">
        <v>77</v>
      </c>
      <c r="Z55" s="131" t="s">
        <v>12</v>
      </c>
      <c r="AA55" s="131" t="s">
        <v>78</v>
      </c>
      <c r="AB55" s="132" t="s">
        <v>13</v>
      </c>
      <c r="AC55" s="133" t="s">
        <v>14</v>
      </c>
      <c r="AD55" s="134" t="s">
        <v>15</v>
      </c>
      <c r="AE55" s="135" t="s">
        <v>103</v>
      </c>
    </row>
    <row r="56" spans="1:31" ht="26.25" x14ac:dyDescent="0.25">
      <c r="A56" s="136" t="s">
        <v>143</v>
      </c>
      <c r="B56" s="137"/>
      <c r="C56" s="385" t="s">
        <v>304</v>
      </c>
      <c r="D56" s="138" t="s">
        <v>144</v>
      </c>
      <c r="E56" s="139" t="s">
        <v>107</v>
      </c>
      <c r="F56" s="140">
        <v>39560</v>
      </c>
      <c r="G56" s="141">
        <v>0</v>
      </c>
      <c r="H56" s="141">
        <v>39560</v>
      </c>
      <c r="I56" s="142">
        <f t="shared" ref="I56:I62" si="42">(G56+H56)*1.03</f>
        <v>40746.800000000003</v>
      </c>
      <c r="J56" s="143">
        <v>39560</v>
      </c>
      <c r="K56" s="144">
        <f t="shared" ref="K56:K62" si="43">J56*1.03</f>
        <v>40746.800000000003</v>
      </c>
      <c r="L56" s="145">
        <f t="shared" ref="L56:M62" si="44">J56/26/80</f>
        <v>19.019230769230766</v>
      </c>
      <c r="M56" s="145">
        <f t="shared" si="44"/>
        <v>19.589807692307694</v>
      </c>
      <c r="N56" s="146">
        <v>696</v>
      </c>
      <c r="O56" s="146">
        <v>1384</v>
      </c>
      <c r="P56" s="147">
        <f t="shared" ref="P56:Q62" si="45">L56*N56</f>
        <v>13237.384615384613</v>
      </c>
      <c r="Q56" s="147">
        <f t="shared" si="45"/>
        <v>27112.293846153851</v>
      </c>
      <c r="R56" s="148">
        <f>SUM(F56*0.35)</f>
        <v>13846</v>
      </c>
      <c r="S56" s="190">
        <v>0.35</v>
      </c>
      <c r="T56" s="149">
        <f t="shared" ref="T56:T62" si="46">SUM(R56)</f>
        <v>13846</v>
      </c>
      <c r="U56" s="150">
        <v>0</v>
      </c>
      <c r="V56" s="151">
        <f t="shared" ref="V56:V62" si="47">SUM(T56)</f>
        <v>13846</v>
      </c>
      <c r="W56" s="147">
        <f>ROUND(V56/12,2)</f>
        <v>1153.83</v>
      </c>
      <c r="X56" s="152">
        <f t="shared" ref="X56:X62" si="48">R56*0.0765</f>
        <v>1059.2190000000001</v>
      </c>
      <c r="Y56" s="152">
        <f t="shared" ref="Y56:Y62" si="49">R56*0.1032</f>
        <v>1428.9072000000001</v>
      </c>
      <c r="Z56" s="152">
        <f t="shared" ref="Z56:Z62" si="50">R56*0.01</f>
        <v>138.46</v>
      </c>
      <c r="AA56" s="152">
        <f t="shared" ref="AA56:AA62" si="51">R56*0.01</f>
        <v>138.46</v>
      </c>
      <c r="AB56" s="153">
        <f>4164*0.35</f>
        <v>1457.3999999999999</v>
      </c>
      <c r="AC56" s="147">
        <f>27*0.35</f>
        <v>9.4499999999999993</v>
      </c>
      <c r="AD56" s="154">
        <f t="shared" ref="AD56:AD62" si="52">SUM(X56:AC56)</f>
        <v>4231.8962000000001</v>
      </c>
      <c r="AE56" s="155">
        <f t="shared" ref="AE56:AE62" si="53">R56+AD56</f>
        <v>18077.896199999999</v>
      </c>
    </row>
    <row r="57" spans="1:31" x14ac:dyDescent="0.25">
      <c r="A57" s="136" t="s">
        <v>145</v>
      </c>
      <c r="B57" s="137"/>
      <c r="C57" s="385" t="s">
        <v>304</v>
      </c>
      <c r="D57" s="138" t="s">
        <v>131</v>
      </c>
      <c r="E57" s="139" t="s">
        <v>107</v>
      </c>
      <c r="F57" s="140">
        <v>41280</v>
      </c>
      <c r="G57" s="141">
        <v>0</v>
      </c>
      <c r="H57" s="141">
        <v>41280</v>
      </c>
      <c r="I57" s="142">
        <f t="shared" si="42"/>
        <v>42518.400000000001</v>
      </c>
      <c r="J57" s="143">
        <v>41280</v>
      </c>
      <c r="K57" s="144">
        <f t="shared" si="43"/>
        <v>42518.400000000001</v>
      </c>
      <c r="L57" s="145">
        <f t="shared" si="44"/>
        <v>19.846153846153847</v>
      </c>
      <c r="M57" s="145">
        <f t="shared" si="44"/>
        <v>20.441538461538464</v>
      </c>
      <c r="N57" s="146">
        <v>696</v>
      </c>
      <c r="O57" s="146">
        <v>1384</v>
      </c>
      <c r="P57" s="147">
        <f t="shared" si="45"/>
        <v>13812.923076923078</v>
      </c>
      <c r="Q57" s="147">
        <f t="shared" si="45"/>
        <v>28291.089230769234</v>
      </c>
      <c r="R57" s="148">
        <f>F57*0.25</f>
        <v>10320</v>
      </c>
      <c r="S57" s="190">
        <v>0.25</v>
      </c>
      <c r="T57" s="149">
        <f t="shared" si="46"/>
        <v>10320</v>
      </c>
      <c r="U57" s="150">
        <v>0</v>
      </c>
      <c r="V57" s="151">
        <f t="shared" si="47"/>
        <v>10320</v>
      </c>
      <c r="W57" s="147">
        <v>3440</v>
      </c>
      <c r="X57" s="152">
        <f t="shared" si="48"/>
        <v>789.48</v>
      </c>
      <c r="Y57" s="152">
        <f t="shared" si="49"/>
        <v>1065.0239999999999</v>
      </c>
      <c r="Z57" s="152">
        <f t="shared" si="50"/>
        <v>103.2</v>
      </c>
      <c r="AA57" s="152">
        <f t="shared" si="51"/>
        <v>103.2</v>
      </c>
      <c r="AB57" s="153">
        <f>4164*0.25</f>
        <v>1041</v>
      </c>
      <c r="AC57" s="147">
        <f>27*0.25</f>
        <v>6.75</v>
      </c>
      <c r="AD57" s="154">
        <f t="shared" si="52"/>
        <v>3108.654</v>
      </c>
      <c r="AE57" s="155">
        <f t="shared" si="53"/>
        <v>13428.654</v>
      </c>
    </row>
    <row r="58" spans="1:31" x14ac:dyDescent="0.25">
      <c r="A58" s="136" t="s">
        <v>146</v>
      </c>
      <c r="B58" s="137"/>
      <c r="C58" s="385" t="s">
        <v>304</v>
      </c>
      <c r="D58" s="138" t="s">
        <v>147</v>
      </c>
      <c r="E58" s="139" t="s">
        <v>107</v>
      </c>
      <c r="F58" s="140">
        <v>60655</v>
      </c>
      <c r="G58" s="141">
        <v>0</v>
      </c>
      <c r="H58" s="141">
        <v>60655</v>
      </c>
      <c r="I58" s="142">
        <f t="shared" si="42"/>
        <v>62474.65</v>
      </c>
      <c r="J58" s="143">
        <v>60655</v>
      </c>
      <c r="K58" s="144">
        <f t="shared" si="43"/>
        <v>62474.65</v>
      </c>
      <c r="L58" s="145">
        <f t="shared" si="44"/>
        <v>29.16105769230769</v>
      </c>
      <c r="M58" s="145">
        <f t="shared" si="44"/>
        <v>30.035889423076924</v>
      </c>
      <c r="N58" s="146">
        <v>696</v>
      </c>
      <c r="O58" s="146">
        <v>1384</v>
      </c>
      <c r="P58" s="147">
        <f t="shared" si="45"/>
        <v>20296.096153846152</v>
      </c>
      <c r="Q58" s="147">
        <f t="shared" si="45"/>
        <v>41569.670961538461</v>
      </c>
      <c r="R58" s="148">
        <f>F58*0.5</f>
        <v>30327.5</v>
      </c>
      <c r="S58" s="190">
        <v>0.5</v>
      </c>
      <c r="T58" s="149">
        <f t="shared" si="46"/>
        <v>30327.5</v>
      </c>
      <c r="U58" s="150">
        <v>0</v>
      </c>
      <c r="V58" s="151">
        <f t="shared" si="47"/>
        <v>30327.5</v>
      </c>
      <c r="W58" s="147">
        <f>ROUND(V58/12,2)</f>
        <v>2527.29</v>
      </c>
      <c r="X58" s="152">
        <f t="shared" si="48"/>
        <v>2320.05375</v>
      </c>
      <c r="Y58" s="152">
        <f t="shared" si="49"/>
        <v>3129.7980000000002</v>
      </c>
      <c r="Z58" s="152">
        <f t="shared" si="50"/>
        <v>303.27500000000003</v>
      </c>
      <c r="AA58" s="152">
        <f t="shared" si="51"/>
        <v>303.27500000000003</v>
      </c>
      <c r="AB58" s="147">
        <f>4164*0.5</f>
        <v>2082</v>
      </c>
      <c r="AC58" s="147">
        <f>27*0.5</f>
        <v>13.5</v>
      </c>
      <c r="AD58" s="154">
        <f t="shared" si="52"/>
        <v>8151.9017499999991</v>
      </c>
      <c r="AE58" s="155">
        <f t="shared" si="53"/>
        <v>38479.401749999997</v>
      </c>
    </row>
    <row r="59" spans="1:31" x14ac:dyDescent="0.25">
      <c r="A59" s="136" t="s">
        <v>148</v>
      </c>
      <c r="B59" s="137"/>
      <c r="C59" s="385" t="s">
        <v>304</v>
      </c>
      <c r="D59" s="138" t="s">
        <v>149</v>
      </c>
      <c r="E59" s="139" t="s">
        <v>107</v>
      </c>
      <c r="F59" s="140">
        <v>35391</v>
      </c>
      <c r="G59" s="141">
        <v>0</v>
      </c>
      <c r="H59" s="141">
        <v>35391</v>
      </c>
      <c r="I59" s="142">
        <f t="shared" si="42"/>
        <v>36452.730000000003</v>
      </c>
      <c r="J59" s="143">
        <v>35391</v>
      </c>
      <c r="K59" s="144">
        <f t="shared" si="43"/>
        <v>36452.730000000003</v>
      </c>
      <c r="L59" s="145">
        <f t="shared" si="44"/>
        <v>17.014903846153846</v>
      </c>
      <c r="M59" s="145">
        <f t="shared" si="44"/>
        <v>17.525350961538464</v>
      </c>
      <c r="N59" s="146">
        <v>696</v>
      </c>
      <c r="O59" s="146">
        <v>1384</v>
      </c>
      <c r="P59" s="147">
        <f t="shared" si="45"/>
        <v>11842.373076923077</v>
      </c>
      <c r="Q59" s="147">
        <f t="shared" si="45"/>
        <v>24255.085730769235</v>
      </c>
      <c r="R59" s="148">
        <v>0</v>
      </c>
      <c r="S59" s="190">
        <v>0</v>
      </c>
      <c r="T59" s="149">
        <f t="shared" si="46"/>
        <v>0</v>
      </c>
      <c r="U59" s="150">
        <v>0</v>
      </c>
      <c r="V59" s="151">
        <f t="shared" si="47"/>
        <v>0</v>
      </c>
      <c r="W59" s="147">
        <v>2949.25</v>
      </c>
      <c r="X59" s="152">
        <f t="shared" si="48"/>
        <v>0</v>
      </c>
      <c r="Y59" s="152">
        <f t="shared" si="49"/>
        <v>0</v>
      </c>
      <c r="Z59" s="152">
        <f t="shared" si="50"/>
        <v>0</v>
      </c>
      <c r="AA59" s="152">
        <f t="shared" si="51"/>
        <v>0</v>
      </c>
      <c r="AB59" s="147">
        <v>0</v>
      </c>
      <c r="AC59" s="147">
        <v>0</v>
      </c>
      <c r="AD59" s="154">
        <f t="shared" si="52"/>
        <v>0</v>
      </c>
      <c r="AE59" s="155">
        <f t="shared" si="53"/>
        <v>0</v>
      </c>
    </row>
    <row r="60" spans="1:31" x14ac:dyDescent="0.25">
      <c r="A60" s="136" t="s">
        <v>150</v>
      </c>
      <c r="B60" s="137"/>
      <c r="C60" s="385" t="s">
        <v>304</v>
      </c>
      <c r="D60" s="138" t="s">
        <v>131</v>
      </c>
      <c r="E60" s="139" t="s">
        <v>107</v>
      </c>
      <c r="F60" s="140">
        <v>44794</v>
      </c>
      <c r="G60" s="141">
        <v>0</v>
      </c>
      <c r="H60" s="141">
        <v>44794</v>
      </c>
      <c r="I60" s="142">
        <f t="shared" si="42"/>
        <v>46137.82</v>
      </c>
      <c r="J60" s="143">
        <v>44794</v>
      </c>
      <c r="K60" s="144">
        <f t="shared" si="43"/>
        <v>46137.82</v>
      </c>
      <c r="L60" s="145">
        <f t="shared" si="44"/>
        <v>21.535576923076924</v>
      </c>
      <c r="M60" s="145">
        <f t="shared" si="44"/>
        <v>22.18164423076923</v>
      </c>
      <c r="N60" s="146">
        <v>696</v>
      </c>
      <c r="O60" s="146">
        <v>1384</v>
      </c>
      <c r="P60" s="147">
        <f t="shared" si="45"/>
        <v>14988.761538461538</v>
      </c>
      <c r="Q60" s="147">
        <f t="shared" si="45"/>
        <v>30699.395615384616</v>
      </c>
      <c r="R60" s="148">
        <v>0</v>
      </c>
      <c r="S60" s="190">
        <v>0</v>
      </c>
      <c r="T60" s="149">
        <f t="shared" si="46"/>
        <v>0</v>
      </c>
      <c r="U60" s="150">
        <v>0</v>
      </c>
      <c r="V60" s="151">
        <f t="shared" si="47"/>
        <v>0</v>
      </c>
      <c r="W60" s="147">
        <v>3732.83</v>
      </c>
      <c r="X60" s="152">
        <f t="shared" si="48"/>
        <v>0</v>
      </c>
      <c r="Y60" s="152">
        <f t="shared" si="49"/>
        <v>0</v>
      </c>
      <c r="Z60" s="152">
        <f t="shared" si="50"/>
        <v>0</v>
      </c>
      <c r="AA60" s="152">
        <f t="shared" si="51"/>
        <v>0</v>
      </c>
      <c r="AB60" s="147">
        <v>0</v>
      </c>
      <c r="AC60" s="147">
        <v>0</v>
      </c>
      <c r="AD60" s="154">
        <f t="shared" si="52"/>
        <v>0</v>
      </c>
      <c r="AE60" s="155">
        <f t="shared" si="53"/>
        <v>0</v>
      </c>
    </row>
    <row r="61" spans="1:31" x14ac:dyDescent="0.25">
      <c r="A61" s="136" t="s">
        <v>151</v>
      </c>
      <c r="B61" s="137"/>
      <c r="C61" s="385" t="s">
        <v>304</v>
      </c>
      <c r="D61" s="138" t="s">
        <v>152</v>
      </c>
      <c r="E61" s="139" t="s">
        <v>107</v>
      </c>
      <c r="F61" s="140">
        <v>63683</v>
      </c>
      <c r="G61" s="141">
        <v>0</v>
      </c>
      <c r="H61" s="141">
        <v>63683</v>
      </c>
      <c r="I61" s="142">
        <f t="shared" si="42"/>
        <v>65593.490000000005</v>
      </c>
      <c r="J61" s="143">
        <v>63683</v>
      </c>
      <c r="K61" s="144">
        <f t="shared" si="43"/>
        <v>65593.490000000005</v>
      </c>
      <c r="L61" s="145">
        <f t="shared" si="44"/>
        <v>30.616826923076921</v>
      </c>
      <c r="M61" s="145">
        <f t="shared" si="44"/>
        <v>31.535331730769236</v>
      </c>
      <c r="N61" s="146">
        <v>696</v>
      </c>
      <c r="O61" s="146">
        <v>1384</v>
      </c>
      <c r="P61" s="147">
        <f t="shared" si="45"/>
        <v>21309.311538461538</v>
      </c>
      <c r="Q61" s="147">
        <f t="shared" si="45"/>
        <v>43644.899115384622</v>
      </c>
      <c r="R61" s="148">
        <f>SUM(F61*0.75)</f>
        <v>47762.25</v>
      </c>
      <c r="S61" s="190">
        <v>0.75</v>
      </c>
      <c r="T61" s="149">
        <f t="shared" si="46"/>
        <v>47762.25</v>
      </c>
      <c r="U61" s="150">
        <v>0</v>
      </c>
      <c r="V61" s="151">
        <f t="shared" si="47"/>
        <v>47762.25</v>
      </c>
      <c r="W61" s="147">
        <v>5306.92</v>
      </c>
      <c r="X61" s="152">
        <f t="shared" si="48"/>
        <v>3653.8121249999999</v>
      </c>
      <c r="Y61" s="152">
        <f t="shared" si="49"/>
        <v>4929.0641999999998</v>
      </c>
      <c r="Z61" s="152">
        <f t="shared" si="50"/>
        <v>477.6225</v>
      </c>
      <c r="AA61" s="152">
        <f t="shared" si="51"/>
        <v>477.6225</v>
      </c>
      <c r="AB61" s="147">
        <f>4164*0.75</f>
        <v>3123</v>
      </c>
      <c r="AC61" s="147">
        <f>27*0.75</f>
        <v>20.25</v>
      </c>
      <c r="AD61" s="154">
        <f t="shared" si="52"/>
        <v>12681.371324999998</v>
      </c>
      <c r="AE61" s="155">
        <f t="shared" si="53"/>
        <v>60443.621325</v>
      </c>
    </row>
    <row r="62" spans="1:31" x14ac:dyDescent="0.25">
      <c r="A62" s="136" t="s">
        <v>153</v>
      </c>
      <c r="B62" s="137"/>
      <c r="C62" s="385" t="s">
        <v>304</v>
      </c>
      <c r="D62" s="138" t="s">
        <v>131</v>
      </c>
      <c r="E62" s="139" t="s">
        <v>107</v>
      </c>
      <c r="F62" s="140">
        <v>44794</v>
      </c>
      <c r="G62" s="141">
        <v>0</v>
      </c>
      <c r="H62" s="141">
        <v>44794</v>
      </c>
      <c r="I62" s="142">
        <f t="shared" si="42"/>
        <v>46137.82</v>
      </c>
      <c r="J62" s="143">
        <v>44794</v>
      </c>
      <c r="K62" s="144">
        <f t="shared" si="43"/>
        <v>46137.82</v>
      </c>
      <c r="L62" s="145">
        <f t="shared" si="44"/>
        <v>21.535576923076924</v>
      </c>
      <c r="M62" s="145">
        <f t="shared" si="44"/>
        <v>22.18164423076923</v>
      </c>
      <c r="N62" s="146">
        <v>696</v>
      </c>
      <c r="O62" s="146">
        <v>1384</v>
      </c>
      <c r="P62" s="147">
        <f t="shared" si="45"/>
        <v>14988.761538461538</v>
      </c>
      <c r="Q62" s="147">
        <f t="shared" si="45"/>
        <v>30699.395615384616</v>
      </c>
      <c r="R62" s="148">
        <v>0</v>
      </c>
      <c r="S62" s="190">
        <v>0</v>
      </c>
      <c r="T62" s="149">
        <f t="shared" si="46"/>
        <v>0</v>
      </c>
      <c r="U62" s="150">
        <v>0</v>
      </c>
      <c r="V62" s="151">
        <f t="shared" si="47"/>
        <v>0</v>
      </c>
      <c r="W62" s="147">
        <v>3732.83</v>
      </c>
      <c r="X62" s="152">
        <f t="shared" si="48"/>
        <v>0</v>
      </c>
      <c r="Y62" s="152">
        <f t="shared" si="49"/>
        <v>0</v>
      </c>
      <c r="Z62" s="152">
        <f t="shared" si="50"/>
        <v>0</v>
      </c>
      <c r="AA62" s="152">
        <f t="shared" si="51"/>
        <v>0</v>
      </c>
      <c r="AB62" s="147">
        <v>0</v>
      </c>
      <c r="AC62" s="147">
        <v>0</v>
      </c>
      <c r="AD62" s="154">
        <f t="shared" si="52"/>
        <v>0</v>
      </c>
      <c r="AE62" s="155">
        <f t="shared" si="53"/>
        <v>0</v>
      </c>
    </row>
    <row r="63" spans="1:31" x14ac:dyDescent="0.25">
      <c r="C63" s="388"/>
      <c r="R63" s="191">
        <f>SUM(R56:R62)</f>
        <v>102255.75</v>
      </c>
      <c r="X63" s="192">
        <f>SUM(X56:X62)</f>
        <v>7822.564875</v>
      </c>
      <c r="Y63" s="192">
        <f t="shared" ref="Y63:AC63" si="54">SUM(Y56:Y62)</f>
        <v>10552.793399999999</v>
      </c>
      <c r="Z63" s="192">
        <f t="shared" si="54"/>
        <v>1022.5575000000001</v>
      </c>
      <c r="AA63" s="192">
        <f t="shared" si="54"/>
        <v>1022.5575000000001</v>
      </c>
      <c r="AB63" s="192">
        <f t="shared" si="54"/>
        <v>7703.4</v>
      </c>
      <c r="AC63" s="192">
        <f t="shared" si="54"/>
        <v>49.95</v>
      </c>
    </row>
    <row r="65" spans="16:29" ht="18" customHeight="1" x14ac:dyDescent="0.25">
      <c r="P65" s="112" t="s">
        <v>154</v>
      </c>
      <c r="R65" s="193">
        <f>SUM(R51+R63)</f>
        <v>128988.37</v>
      </c>
      <c r="X65" s="194">
        <f>SUM(X51+X63)</f>
        <v>9867.6103050000002</v>
      </c>
      <c r="Y65" s="194">
        <f t="shared" ref="Y65:AC65" si="55">SUM(Y51+Y63)</f>
        <v>13311.599783999998</v>
      </c>
      <c r="Z65" s="194">
        <f t="shared" si="55"/>
        <v>1289.8837000000001</v>
      </c>
      <c r="AA65" s="194">
        <f t="shared" si="55"/>
        <v>1289.8837000000001</v>
      </c>
      <c r="AB65" s="194">
        <f t="shared" si="55"/>
        <v>10297.86</v>
      </c>
      <c r="AC65" s="194">
        <f t="shared" si="55"/>
        <v>66.77000000000001</v>
      </c>
    </row>
    <row r="66" spans="16:29" x14ac:dyDescent="0.25">
      <c r="P66" s="112" t="s">
        <v>155</v>
      </c>
      <c r="R66" s="195">
        <f>SUM(AB65)</f>
        <v>10297.86</v>
      </c>
    </row>
    <row r="67" spans="16:29" x14ac:dyDescent="0.25">
      <c r="P67" s="112" t="s">
        <v>14</v>
      </c>
      <c r="R67" s="195">
        <f>SUM(AC65)</f>
        <v>66.77000000000001</v>
      </c>
    </row>
    <row r="68" spans="16:29" x14ac:dyDescent="0.25">
      <c r="P68" s="112" t="s">
        <v>156</v>
      </c>
      <c r="R68" s="195">
        <f>R65*0.0765</f>
        <v>9867.6103050000002</v>
      </c>
    </row>
    <row r="69" spans="16:29" x14ac:dyDescent="0.25">
      <c r="P69" s="112" t="s">
        <v>157</v>
      </c>
      <c r="R69" s="195">
        <f>R65*0.1032</f>
        <v>13311.599784</v>
      </c>
    </row>
    <row r="70" spans="16:29" x14ac:dyDescent="0.25">
      <c r="P70" s="112" t="s">
        <v>158</v>
      </c>
      <c r="R70" s="195">
        <f>R65*0.01</f>
        <v>1289.8837000000001</v>
      </c>
    </row>
    <row r="71" spans="16:29" x14ac:dyDescent="0.25">
      <c r="P71" s="112" t="s">
        <v>159</v>
      </c>
      <c r="R71" s="196">
        <f>R65*0.01</f>
        <v>1289.8837000000001</v>
      </c>
    </row>
    <row r="72" spans="16:29" x14ac:dyDescent="0.25">
      <c r="R72" s="197">
        <f>SUM(R65:R71)</f>
        <v>165111.97748899998</v>
      </c>
    </row>
  </sheetData>
  <mergeCells count="14">
    <mergeCell ref="L7:M7"/>
    <mergeCell ref="X7:AA7"/>
    <mergeCell ref="AB7:AC7"/>
    <mergeCell ref="A1:AD1"/>
    <mergeCell ref="A2:AD2"/>
    <mergeCell ref="A3:AD3"/>
    <mergeCell ref="A4:AD4"/>
    <mergeCell ref="A5:AD5"/>
    <mergeCell ref="L37:M37"/>
    <mergeCell ref="X37:AA37"/>
    <mergeCell ref="AB37:AC37"/>
    <mergeCell ref="L54:M54"/>
    <mergeCell ref="X54:AA54"/>
    <mergeCell ref="AB54:AC54"/>
  </mergeCells>
  <pageMargins left="0" right="0" top="0.75" bottom="0.75" header="0.3" footer="0.3"/>
  <pageSetup paperSize="5" scale="54" fitToHeight="0" orientation="landscape" r:id="rId1"/>
  <rowBreaks count="1" manualBreakCount="1">
    <brk id="33" max="30" man="1"/>
  </row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3</xdr:col>
                <xdr:colOff>0</xdr:colOff>
                <xdr:row>31</xdr:row>
                <xdr:rowOff>0</xdr:rowOff>
              </from>
              <to>
                <xdr:col>3</xdr:col>
                <xdr:colOff>1009650</xdr:colOff>
                <xdr:row>32</xdr:row>
                <xdr:rowOff>47625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1009650</xdr:colOff>
                <xdr:row>30</xdr:row>
                <xdr:rowOff>104775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44"/>
  <sheetViews>
    <sheetView view="pageBreakPreview" topLeftCell="A16" zoomScale="60" zoomScaleNormal="100" workbookViewId="0">
      <selection activeCell="C17" sqref="C17"/>
    </sheetView>
  </sheetViews>
  <sheetFormatPr defaultRowHeight="15" x14ac:dyDescent="0.25"/>
  <cols>
    <col min="1" max="1" width="9.28515625" style="112" bestFit="1" customWidth="1"/>
    <col min="2" max="2" width="9.140625" style="112"/>
    <col min="3" max="3" width="20.5703125" style="112" customWidth="1"/>
    <col min="4" max="4" width="10.85546875" style="112" customWidth="1"/>
    <col min="5" max="5" width="0" style="112" hidden="1" customWidth="1"/>
    <col min="6" max="6" width="11.5703125" style="112" customWidth="1"/>
    <col min="7" max="7" width="13.28515625" style="112" bestFit="1" customWidth="1"/>
    <col min="8" max="9" width="11.140625" style="112" customWidth="1"/>
    <col min="10" max="10" width="12.28515625" style="112" customWidth="1"/>
    <col min="11" max="11" width="11.85546875" style="112" customWidth="1"/>
    <col min="12" max="15" width="9.140625" style="112" hidden="1" customWidth="1"/>
    <col min="16" max="16" width="11.140625" style="112" hidden="1" customWidth="1"/>
    <col min="17" max="17" width="11.85546875" style="112" hidden="1" customWidth="1"/>
    <col min="18" max="18" width="11.85546875" style="112" customWidth="1"/>
    <col min="19" max="19" width="5.85546875" style="112" customWidth="1"/>
    <col min="20" max="20" width="11.5703125" style="112" customWidth="1"/>
    <col min="21" max="21" width="6.5703125" style="112" customWidth="1"/>
    <col min="22" max="22" width="11.5703125" style="112" customWidth="1"/>
    <col min="23" max="23" width="10.140625" style="112" customWidth="1"/>
    <col min="24" max="24" width="11.140625" style="112" customWidth="1"/>
    <col min="25" max="25" width="10.7109375" style="112" customWidth="1"/>
    <col min="26" max="27" width="9.140625" style="112" customWidth="1"/>
    <col min="28" max="28" width="10.28515625" style="112" customWidth="1"/>
    <col min="29" max="29" width="9.140625" style="112" customWidth="1"/>
    <col min="30" max="30" width="10.85546875" style="112" customWidth="1"/>
    <col min="31" max="31" width="12.140625" style="112" customWidth="1"/>
    <col min="32" max="16384" width="9.140625" style="112"/>
  </cols>
  <sheetData>
    <row r="1" spans="1:31" ht="20.25" x14ac:dyDescent="0.3">
      <c r="A1" s="410" t="s">
        <v>160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111"/>
    </row>
    <row r="2" spans="1:31" ht="20.25" x14ac:dyDescent="0.3">
      <c r="A2" s="412" t="s">
        <v>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111"/>
    </row>
    <row r="3" spans="1:31" ht="20.25" x14ac:dyDescent="0.3">
      <c r="A3" s="412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111"/>
    </row>
    <row r="4" spans="1:31" ht="20.25" x14ac:dyDescent="0.3">
      <c r="A4" s="412" t="s">
        <v>83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111"/>
    </row>
    <row r="5" spans="1:31" ht="20.25" x14ac:dyDescent="0.3">
      <c r="A5" s="414" t="s">
        <v>2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111"/>
    </row>
    <row r="6" spans="1:31" x14ac:dyDescent="0.25">
      <c r="A6" s="113" t="s">
        <v>161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5"/>
      <c r="K7" s="115"/>
      <c r="L7" s="405" t="s">
        <v>86</v>
      </c>
      <c r="M7" s="406"/>
      <c r="N7" s="116"/>
      <c r="O7" s="116"/>
      <c r="P7" s="117">
        <v>2013</v>
      </c>
      <c r="Q7" s="117">
        <v>2014</v>
      </c>
      <c r="R7" s="117"/>
      <c r="S7" s="117"/>
      <c r="T7" s="118"/>
      <c r="U7" s="119"/>
      <c r="V7" s="119"/>
      <c r="W7" s="120"/>
      <c r="X7" s="407" t="s">
        <v>4</v>
      </c>
      <c r="Y7" s="408"/>
      <c r="Z7" s="408"/>
      <c r="AA7" s="409"/>
      <c r="AB7" s="408" t="s">
        <v>5</v>
      </c>
      <c r="AC7" s="409"/>
      <c r="AD7" s="121"/>
      <c r="AE7" s="118"/>
    </row>
    <row r="8" spans="1:31" ht="71.25" customHeight="1" x14ac:dyDescent="0.25">
      <c r="A8" s="122" t="s">
        <v>6</v>
      </c>
      <c r="B8" s="122" t="s">
        <v>87</v>
      </c>
      <c r="C8" s="122" t="s">
        <v>88</v>
      </c>
      <c r="D8" s="123" t="s">
        <v>7</v>
      </c>
      <c r="E8" s="124" t="s">
        <v>89</v>
      </c>
      <c r="F8" s="125" t="s">
        <v>90</v>
      </c>
      <c r="G8" s="124" t="s">
        <v>91</v>
      </c>
      <c r="H8" s="124" t="s">
        <v>8</v>
      </c>
      <c r="I8" s="124" t="s">
        <v>92</v>
      </c>
      <c r="J8" s="126" t="s">
        <v>93</v>
      </c>
      <c r="K8" s="127" t="s">
        <v>94</v>
      </c>
      <c r="L8" s="124" t="s">
        <v>95</v>
      </c>
      <c r="M8" s="124" t="s">
        <v>96</v>
      </c>
      <c r="N8" s="125" t="s">
        <v>97</v>
      </c>
      <c r="O8" s="124" t="s">
        <v>74</v>
      </c>
      <c r="P8" s="124" t="s">
        <v>98</v>
      </c>
      <c r="Q8" s="124" t="s">
        <v>99</v>
      </c>
      <c r="R8" s="198" t="s">
        <v>100</v>
      </c>
      <c r="S8" s="128" t="s">
        <v>101</v>
      </c>
      <c r="T8" s="129" t="s">
        <v>162</v>
      </c>
      <c r="U8" s="129" t="s">
        <v>101</v>
      </c>
      <c r="V8" s="130" t="s">
        <v>102</v>
      </c>
      <c r="W8" s="123" t="s">
        <v>10</v>
      </c>
      <c r="X8" s="131" t="s">
        <v>11</v>
      </c>
      <c r="Y8" s="131" t="s">
        <v>77</v>
      </c>
      <c r="Z8" s="131" t="s">
        <v>12</v>
      </c>
      <c r="AA8" s="131" t="s">
        <v>78</v>
      </c>
      <c r="AB8" s="132" t="s">
        <v>13</v>
      </c>
      <c r="AC8" s="133" t="s">
        <v>14</v>
      </c>
      <c r="AD8" s="134" t="s">
        <v>15</v>
      </c>
      <c r="AE8" s="135" t="s">
        <v>103</v>
      </c>
    </row>
    <row r="9" spans="1:31" ht="42" customHeight="1" x14ac:dyDescent="0.25">
      <c r="A9" s="156" t="s">
        <v>17</v>
      </c>
      <c r="B9" s="156" t="s">
        <v>163</v>
      </c>
      <c r="C9" s="387" t="s">
        <v>304</v>
      </c>
      <c r="D9" s="199" t="s">
        <v>164</v>
      </c>
      <c r="E9" s="200" t="s">
        <v>107</v>
      </c>
      <c r="F9" s="201">
        <v>48149</v>
      </c>
      <c r="G9" s="202">
        <v>1820</v>
      </c>
      <c r="H9" s="202">
        <v>9952</v>
      </c>
      <c r="I9" s="142">
        <f>(G9+H9)*1.03</f>
        <v>12125.16</v>
      </c>
      <c r="J9" s="203">
        <v>36377</v>
      </c>
      <c r="K9" s="144">
        <f t="shared" ref="K9:K16" si="0">J9*1.03</f>
        <v>37468.31</v>
      </c>
      <c r="L9" s="145">
        <f t="shared" ref="L9:M16" si="1">J9/26/80</f>
        <v>17.488942307692305</v>
      </c>
      <c r="M9" s="145">
        <f t="shared" si="1"/>
        <v>18.013610576923078</v>
      </c>
      <c r="N9" s="146">
        <v>696</v>
      </c>
      <c r="O9" s="146">
        <v>1384</v>
      </c>
      <c r="P9" s="147">
        <f t="shared" ref="P9:Q16" si="2">L9*N9</f>
        <v>12172.303846153844</v>
      </c>
      <c r="Q9" s="147">
        <f t="shared" si="2"/>
        <v>24930.837038461541</v>
      </c>
      <c r="R9" s="148">
        <f>SUM(I9)</f>
        <v>12125.16</v>
      </c>
      <c r="S9" s="148">
        <f>ROUND(R9/V9,2)</f>
        <v>0.25</v>
      </c>
      <c r="T9" s="149">
        <f t="shared" ref="T9:T16" si="3">SUM(P9:Q9)</f>
        <v>37103.140884615386</v>
      </c>
      <c r="U9" s="150">
        <f>ROUND(T9/V9,2)</f>
        <v>0.75</v>
      </c>
      <c r="V9" s="151">
        <f>SUM(R9+T9)</f>
        <v>49228.300884615383</v>
      </c>
      <c r="W9" s="147">
        <f>ROUND(V9/12,2)</f>
        <v>4102.3599999999997</v>
      </c>
      <c r="X9" s="152">
        <f t="shared" ref="X9:X16" si="4">T9*0.0765</f>
        <v>2838.390277673077</v>
      </c>
      <c r="Y9" s="152">
        <f t="shared" ref="Y9:Y16" si="5">T9*0.1032</f>
        <v>3829.044139292308</v>
      </c>
      <c r="Z9" s="152">
        <f t="shared" ref="Z9:Z16" si="6">T9*0.01</f>
        <v>371.03140884615385</v>
      </c>
      <c r="AA9" s="152">
        <f t="shared" ref="AA9:AA16" si="7">T9*0.01</f>
        <v>371.03140884615385</v>
      </c>
      <c r="AB9" s="153">
        <f t="shared" ref="AB9:AB16" si="8">ROUND((J9/F9)*4164,2)</f>
        <v>3145.94</v>
      </c>
      <c r="AC9" s="147">
        <f t="shared" ref="AC9:AC16" si="9">ROUND((J9/F9)*27,2)</f>
        <v>20.399999999999999</v>
      </c>
      <c r="AD9" s="154">
        <f t="shared" ref="AD9:AD16" si="10">SUM(X9:AC9)</f>
        <v>10575.837234657693</v>
      </c>
      <c r="AE9" s="155">
        <f t="shared" ref="AE9:AE16" si="11">T9+AD9</f>
        <v>47678.978119273081</v>
      </c>
    </row>
    <row r="10" spans="1:31" ht="42" customHeight="1" x14ac:dyDescent="0.25">
      <c r="A10" s="156" t="s">
        <v>19</v>
      </c>
      <c r="B10" s="156" t="s">
        <v>165</v>
      </c>
      <c r="C10" s="387" t="s">
        <v>304</v>
      </c>
      <c r="D10" s="204" t="s">
        <v>164</v>
      </c>
      <c r="E10" s="200" t="s">
        <v>107</v>
      </c>
      <c r="F10" s="201">
        <v>48149</v>
      </c>
      <c r="G10" s="157">
        <v>0</v>
      </c>
      <c r="H10" s="205">
        <v>11772</v>
      </c>
      <c r="I10" s="142">
        <f t="shared" ref="I10:I16" si="12">(G10+H10)*1.03</f>
        <v>12125.16</v>
      </c>
      <c r="J10" s="203">
        <v>36377</v>
      </c>
      <c r="K10" s="144">
        <f t="shared" si="0"/>
        <v>37468.31</v>
      </c>
      <c r="L10" s="145">
        <f t="shared" si="1"/>
        <v>17.488942307692305</v>
      </c>
      <c r="M10" s="145">
        <f t="shared" si="1"/>
        <v>18.013610576923078</v>
      </c>
      <c r="N10" s="146">
        <v>696</v>
      </c>
      <c r="O10" s="146">
        <v>1384</v>
      </c>
      <c r="P10" s="147">
        <f t="shared" si="2"/>
        <v>12172.303846153844</v>
      </c>
      <c r="Q10" s="147">
        <f t="shared" si="2"/>
        <v>24930.837038461541</v>
      </c>
      <c r="R10" s="148">
        <f t="shared" ref="R10:R16" si="13">SUM(I10)</f>
        <v>12125.16</v>
      </c>
      <c r="S10" s="148">
        <f t="shared" ref="S10:S16" si="14">ROUND(R10/V10,2)</f>
        <v>0.25</v>
      </c>
      <c r="T10" s="149">
        <f t="shared" si="3"/>
        <v>37103.140884615386</v>
      </c>
      <c r="U10" s="150">
        <f t="shared" ref="U10:U16" si="15">ROUND(T10/V10,2)</f>
        <v>0.75</v>
      </c>
      <c r="V10" s="151">
        <f t="shared" ref="V10:V17" si="16">SUM(R10+T10)</f>
        <v>49228.300884615383</v>
      </c>
      <c r="W10" s="147">
        <f>ROUND(V10/12,2)</f>
        <v>4102.3599999999997</v>
      </c>
      <c r="X10" s="152">
        <f t="shared" si="4"/>
        <v>2838.390277673077</v>
      </c>
      <c r="Y10" s="152">
        <f t="shared" si="5"/>
        <v>3829.044139292308</v>
      </c>
      <c r="Z10" s="152">
        <f t="shared" si="6"/>
        <v>371.03140884615385</v>
      </c>
      <c r="AA10" s="152">
        <f t="shared" si="7"/>
        <v>371.03140884615385</v>
      </c>
      <c r="AB10" s="153">
        <f t="shared" si="8"/>
        <v>3145.94</v>
      </c>
      <c r="AC10" s="147">
        <f t="shared" si="9"/>
        <v>20.399999999999999</v>
      </c>
      <c r="AD10" s="154">
        <f t="shared" si="10"/>
        <v>10575.837234657693</v>
      </c>
      <c r="AE10" s="155">
        <f t="shared" si="11"/>
        <v>47678.978119273081</v>
      </c>
    </row>
    <row r="11" spans="1:31" ht="42" customHeight="1" x14ac:dyDescent="0.25">
      <c r="A11" s="156" t="s">
        <v>21</v>
      </c>
      <c r="B11" s="156" t="s">
        <v>166</v>
      </c>
      <c r="C11" s="387" t="s">
        <v>304</v>
      </c>
      <c r="D11" s="204" t="s">
        <v>164</v>
      </c>
      <c r="E11" s="200" t="s">
        <v>107</v>
      </c>
      <c r="F11" s="201">
        <v>48149</v>
      </c>
      <c r="G11" s="202">
        <v>1593</v>
      </c>
      <c r="H11" s="205">
        <v>14637</v>
      </c>
      <c r="I11" s="142">
        <f t="shared" si="12"/>
        <v>16716.900000000001</v>
      </c>
      <c r="J11" s="203">
        <v>31919</v>
      </c>
      <c r="K11" s="144">
        <f t="shared" si="0"/>
        <v>32876.57</v>
      </c>
      <c r="L11" s="145">
        <f t="shared" si="1"/>
        <v>15.345673076923077</v>
      </c>
      <c r="M11" s="145">
        <f t="shared" si="1"/>
        <v>15.80604326923077</v>
      </c>
      <c r="N11" s="146">
        <v>696</v>
      </c>
      <c r="O11" s="146">
        <v>1384</v>
      </c>
      <c r="P11" s="147">
        <f t="shared" si="2"/>
        <v>10680.588461538462</v>
      </c>
      <c r="Q11" s="147">
        <f t="shared" si="2"/>
        <v>21875.563884615385</v>
      </c>
      <c r="R11" s="148">
        <f t="shared" si="13"/>
        <v>16716.900000000001</v>
      </c>
      <c r="S11" s="148">
        <f t="shared" si="14"/>
        <v>0.34</v>
      </c>
      <c r="T11" s="149">
        <f t="shared" si="3"/>
        <v>32556.152346153845</v>
      </c>
      <c r="U11" s="150">
        <f t="shared" si="15"/>
        <v>0.66</v>
      </c>
      <c r="V11" s="151">
        <f t="shared" si="16"/>
        <v>49273.052346153847</v>
      </c>
      <c r="W11" s="147">
        <f t="shared" ref="W11:W16" si="17">ROUND(V11/12,2)</f>
        <v>4106.09</v>
      </c>
      <c r="X11" s="152">
        <f t="shared" si="4"/>
        <v>2490.5456544807689</v>
      </c>
      <c r="Y11" s="152">
        <f t="shared" si="5"/>
        <v>3359.794922123077</v>
      </c>
      <c r="Z11" s="152">
        <f t="shared" si="6"/>
        <v>325.56152346153846</v>
      </c>
      <c r="AA11" s="152">
        <f t="shared" si="7"/>
        <v>325.56152346153846</v>
      </c>
      <c r="AB11" s="153">
        <f t="shared" si="8"/>
        <v>2760.4</v>
      </c>
      <c r="AC11" s="147">
        <f t="shared" si="9"/>
        <v>17.899999999999999</v>
      </c>
      <c r="AD11" s="154">
        <f t="shared" si="10"/>
        <v>9279.7636235269238</v>
      </c>
      <c r="AE11" s="155">
        <f t="shared" si="11"/>
        <v>41835.915969680769</v>
      </c>
    </row>
    <row r="12" spans="1:31" ht="40.5" customHeight="1" x14ac:dyDescent="0.25">
      <c r="A12" s="156" t="s">
        <v>116</v>
      </c>
      <c r="B12" s="156" t="s">
        <v>167</v>
      </c>
      <c r="C12" s="387" t="s">
        <v>304</v>
      </c>
      <c r="D12" s="204" t="s">
        <v>168</v>
      </c>
      <c r="E12" s="206" t="s">
        <v>115</v>
      </c>
      <c r="F12" s="201">
        <v>26614</v>
      </c>
      <c r="G12" s="202">
        <v>1167</v>
      </c>
      <c r="H12" s="205">
        <v>2138</v>
      </c>
      <c r="I12" s="142">
        <f t="shared" si="12"/>
        <v>3404.15</v>
      </c>
      <c r="J12" s="203">
        <v>23309</v>
      </c>
      <c r="K12" s="144">
        <f t="shared" si="0"/>
        <v>24008.27</v>
      </c>
      <c r="L12" s="145">
        <f t="shared" si="1"/>
        <v>11.206250000000001</v>
      </c>
      <c r="M12" s="145">
        <f t="shared" si="1"/>
        <v>11.5424375</v>
      </c>
      <c r="N12" s="146">
        <v>696</v>
      </c>
      <c r="O12" s="146">
        <v>1384</v>
      </c>
      <c r="P12" s="147">
        <f t="shared" si="2"/>
        <v>7799.55</v>
      </c>
      <c r="Q12" s="147">
        <f t="shared" si="2"/>
        <v>15974.7335</v>
      </c>
      <c r="R12" s="148">
        <f t="shared" si="13"/>
        <v>3404.15</v>
      </c>
      <c r="S12" s="148">
        <f t="shared" si="14"/>
        <v>0.13</v>
      </c>
      <c r="T12" s="149">
        <f t="shared" si="3"/>
        <v>23774.283500000001</v>
      </c>
      <c r="U12" s="150">
        <f t="shared" si="15"/>
        <v>0.87</v>
      </c>
      <c r="V12" s="151">
        <f t="shared" si="16"/>
        <v>27178.433500000003</v>
      </c>
      <c r="W12" s="147">
        <f t="shared" si="17"/>
        <v>2264.87</v>
      </c>
      <c r="X12" s="152">
        <f t="shared" si="4"/>
        <v>1818.73268775</v>
      </c>
      <c r="Y12" s="152">
        <f t="shared" si="5"/>
        <v>2453.5060572000002</v>
      </c>
      <c r="Z12" s="152">
        <f t="shared" si="6"/>
        <v>237.74283500000001</v>
      </c>
      <c r="AA12" s="152">
        <f t="shared" si="7"/>
        <v>237.74283500000001</v>
      </c>
      <c r="AB12" s="153">
        <f t="shared" si="8"/>
        <v>3646.9</v>
      </c>
      <c r="AC12" s="147">
        <f t="shared" si="9"/>
        <v>23.65</v>
      </c>
      <c r="AD12" s="154">
        <f t="shared" si="10"/>
        <v>8418.2744149499995</v>
      </c>
      <c r="AE12" s="155">
        <f t="shared" si="11"/>
        <v>32192.557914950001</v>
      </c>
    </row>
    <row r="13" spans="1:31" ht="40.5" customHeight="1" x14ac:dyDescent="0.25">
      <c r="A13" s="156" t="s">
        <v>169</v>
      </c>
      <c r="B13" s="156" t="s">
        <v>170</v>
      </c>
      <c r="C13" s="387" t="s">
        <v>304</v>
      </c>
      <c r="D13" s="204" t="s">
        <v>171</v>
      </c>
      <c r="E13" s="206" t="s">
        <v>119</v>
      </c>
      <c r="F13" s="201">
        <v>25819</v>
      </c>
      <c r="G13" s="202">
        <v>1146</v>
      </c>
      <c r="H13" s="205">
        <v>1708</v>
      </c>
      <c r="I13" s="142">
        <f t="shared" si="12"/>
        <v>2939.62</v>
      </c>
      <c r="J13" s="203">
        <v>22965</v>
      </c>
      <c r="K13" s="144">
        <f t="shared" si="0"/>
        <v>23653.95</v>
      </c>
      <c r="L13" s="145">
        <f t="shared" si="1"/>
        <v>11.040865384615383</v>
      </c>
      <c r="M13" s="145">
        <f t="shared" si="1"/>
        <v>11.372091346153846</v>
      </c>
      <c r="N13" s="146">
        <v>696</v>
      </c>
      <c r="O13" s="146">
        <v>1384</v>
      </c>
      <c r="P13" s="147">
        <f t="shared" si="2"/>
        <v>7684.4423076923067</v>
      </c>
      <c r="Q13" s="147">
        <f t="shared" si="2"/>
        <v>15738.974423076923</v>
      </c>
      <c r="R13" s="148">
        <f t="shared" si="13"/>
        <v>2939.62</v>
      </c>
      <c r="S13" s="148">
        <f t="shared" si="14"/>
        <v>0.11</v>
      </c>
      <c r="T13" s="149">
        <f t="shared" si="3"/>
        <v>23423.41673076923</v>
      </c>
      <c r="U13" s="150">
        <f t="shared" si="15"/>
        <v>0.89</v>
      </c>
      <c r="V13" s="151">
        <f t="shared" si="16"/>
        <v>26363.036730769229</v>
      </c>
      <c r="W13" s="147">
        <f t="shared" si="17"/>
        <v>2196.92</v>
      </c>
      <c r="X13" s="152">
        <f t="shared" si="4"/>
        <v>1791.891379903846</v>
      </c>
      <c r="Y13" s="152">
        <f t="shared" si="5"/>
        <v>2417.2966066153845</v>
      </c>
      <c r="Z13" s="152">
        <f t="shared" si="6"/>
        <v>234.2341673076923</v>
      </c>
      <c r="AA13" s="152">
        <f t="shared" si="7"/>
        <v>234.2341673076923</v>
      </c>
      <c r="AB13" s="153">
        <f t="shared" si="8"/>
        <v>3703.72</v>
      </c>
      <c r="AC13" s="147">
        <f t="shared" si="9"/>
        <v>24.02</v>
      </c>
      <c r="AD13" s="154">
        <f t="shared" si="10"/>
        <v>8405.3963211346163</v>
      </c>
      <c r="AE13" s="155">
        <f t="shared" si="11"/>
        <v>31828.813051903846</v>
      </c>
    </row>
    <row r="14" spans="1:31" ht="26.25" x14ac:dyDescent="0.25">
      <c r="A14" s="156" t="s">
        <v>120</v>
      </c>
      <c r="B14" s="156" t="s">
        <v>172</v>
      </c>
      <c r="C14" s="387" t="s">
        <v>304</v>
      </c>
      <c r="D14" s="204" t="s">
        <v>168</v>
      </c>
      <c r="E14" s="206" t="s">
        <v>123</v>
      </c>
      <c r="F14" s="201">
        <v>24087</v>
      </c>
      <c r="G14" s="202">
        <v>36</v>
      </c>
      <c r="H14" s="205">
        <v>542</v>
      </c>
      <c r="I14" s="142">
        <f t="shared" si="12"/>
        <v>595.34</v>
      </c>
      <c r="J14" s="203">
        <v>23509</v>
      </c>
      <c r="K14" s="144">
        <f t="shared" si="0"/>
        <v>24214.27</v>
      </c>
      <c r="L14" s="145">
        <f t="shared" si="1"/>
        <v>11.302403846153847</v>
      </c>
      <c r="M14" s="145">
        <f t="shared" si="1"/>
        <v>11.641475961538461</v>
      </c>
      <c r="N14" s="146">
        <v>696</v>
      </c>
      <c r="O14" s="146">
        <v>1384</v>
      </c>
      <c r="P14" s="147">
        <f t="shared" si="2"/>
        <v>7866.4730769230782</v>
      </c>
      <c r="Q14" s="147">
        <f t="shared" si="2"/>
        <v>16111.80273076923</v>
      </c>
      <c r="R14" s="148">
        <f t="shared" si="13"/>
        <v>595.34</v>
      </c>
      <c r="S14" s="148">
        <f t="shared" si="14"/>
        <v>0.02</v>
      </c>
      <c r="T14" s="149">
        <f t="shared" si="3"/>
        <v>23978.275807692309</v>
      </c>
      <c r="U14" s="150">
        <f t="shared" si="15"/>
        <v>0.98</v>
      </c>
      <c r="V14" s="151">
        <f t="shared" si="16"/>
        <v>24573.615807692309</v>
      </c>
      <c r="W14" s="147">
        <f t="shared" si="17"/>
        <v>2047.8</v>
      </c>
      <c r="X14" s="152">
        <f t="shared" si="4"/>
        <v>1834.3380992884615</v>
      </c>
      <c r="Y14" s="152">
        <f t="shared" si="5"/>
        <v>2474.5580633538461</v>
      </c>
      <c r="Z14" s="152">
        <f t="shared" si="6"/>
        <v>239.7827580769231</v>
      </c>
      <c r="AA14" s="152">
        <f t="shared" si="7"/>
        <v>239.7827580769231</v>
      </c>
      <c r="AB14" s="153">
        <f t="shared" si="8"/>
        <v>4064.08</v>
      </c>
      <c r="AC14" s="147">
        <f t="shared" si="9"/>
        <v>26.35</v>
      </c>
      <c r="AD14" s="154">
        <f t="shared" si="10"/>
        <v>8878.8916787961552</v>
      </c>
      <c r="AE14" s="155">
        <f t="shared" si="11"/>
        <v>32857.167486488463</v>
      </c>
    </row>
    <row r="15" spans="1:31" ht="26.25" x14ac:dyDescent="0.25">
      <c r="A15" s="156" t="s">
        <v>128</v>
      </c>
      <c r="B15" s="156" t="s">
        <v>173</v>
      </c>
      <c r="C15" s="387" t="s">
        <v>304</v>
      </c>
      <c r="D15" s="204" t="s">
        <v>168</v>
      </c>
      <c r="E15" s="206" t="s">
        <v>115</v>
      </c>
      <c r="F15" s="201">
        <v>26614</v>
      </c>
      <c r="G15" s="202">
        <v>874</v>
      </c>
      <c r="H15" s="205">
        <v>8220</v>
      </c>
      <c r="I15" s="142">
        <f t="shared" si="12"/>
        <v>9366.82</v>
      </c>
      <c r="J15" s="203">
        <v>17520</v>
      </c>
      <c r="K15" s="144">
        <f t="shared" si="0"/>
        <v>18045.600000000002</v>
      </c>
      <c r="L15" s="145">
        <f t="shared" si="1"/>
        <v>8.4230769230769234</v>
      </c>
      <c r="M15" s="145">
        <f t="shared" si="1"/>
        <v>8.675769230769232</v>
      </c>
      <c r="N15" s="146">
        <v>696</v>
      </c>
      <c r="O15" s="146">
        <v>1384</v>
      </c>
      <c r="P15" s="147">
        <f t="shared" si="2"/>
        <v>5862.461538461539</v>
      </c>
      <c r="Q15" s="147">
        <f t="shared" si="2"/>
        <v>12007.264615384616</v>
      </c>
      <c r="R15" s="148">
        <f t="shared" si="13"/>
        <v>9366.82</v>
      </c>
      <c r="S15" s="148">
        <f t="shared" si="14"/>
        <v>0.34</v>
      </c>
      <c r="T15" s="149">
        <f t="shared" si="3"/>
        <v>17869.726153846153</v>
      </c>
      <c r="U15" s="150">
        <f t="shared" si="15"/>
        <v>0.66</v>
      </c>
      <c r="V15" s="151">
        <f t="shared" si="16"/>
        <v>27236.546153846153</v>
      </c>
      <c r="W15" s="147">
        <f t="shared" si="17"/>
        <v>2269.71</v>
      </c>
      <c r="X15" s="152">
        <f t="shared" si="4"/>
        <v>1367.0340507692308</v>
      </c>
      <c r="Y15" s="152">
        <f t="shared" si="5"/>
        <v>1844.1557390769231</v>
      </c>
      <c r="Z15" s="152">
        <f t="shared" si="6"/>
        <v>178.69726153846153</v>
      </c>
      <c r="AA15" s="152">
        <f t="shared" si="7"/>
        <v>178.69726153846153</v>
      </c>
      <c r="AB15" s="153">
        <f t="shared" si="8"/>
        <v>2741.16</v>
      </c>
      <c r="AC15" s="147">
        <f t="shared" si="9"/>
        <v>17.77</v>
      </c>
      <c r="AD15" s="154">
        <f t="shared" si="10"/>
        <v>6327.5143129230773</v>
      </c>
      <c r="AE15" s="155">
        <f t="shared" si="11"/>
        <v>24197.240466769232</v>
      </c>
    </row>
    <row r="16" spans="1:31" ht="26.25" x14ac:dyDescent="0.25">
      <c r="A16" s="156" t="s">
        <v>174</v>
      </c>
      <c r="B16" s="156" t="s">
        <v>175</v>
      </c>
      <c r="C16" s="387" t="s">
        <v>304</v>
      </c>
      <c r="D16" s="204" t="s">
        <v>168</v>
      </c>
      <c r="E16" s="206" t="s">
        <v>176</v>
      </c>
      <c r="F16" s="201">
        <v>25105</v>
      </c>
      <c r="G16" s="202">
        <v>15</v>
      </c>
      <c r="H16" s="205">
        <v>11549</v>
      </c>
      <c r="I16" s="142">
        <f t="shared" si="12"/>
        <v>11910.92</v>
      </c>
      <c r="J16" s="203">
        <v>13541</v>
      </c>
      <c r="K16" s="144">
        <f t="shared" si="0"/>
        <v>13947.23</v>
      </c>
      <c r="L16" s="145">
        <f t="shared" si="1"/>
        <v>6.5100961538461535</v>
      </c>
      <c r="M16" s="145">
        <f t="shared" si="1"/>
        <v>6.7053990384615387</v>
      </c>
      <c r="N16" s="146">
        <v>696</v>
      </c>
      <c r="O16" s="146">
        <v>1384</v>
      </c>
      <c r="P16" s="147">
        <f t="shared" si="2"/>
        <v>4531.0269230769227</v>
      </c>
      <c r="Q16" s="147">
        <f t="shared" si="2"/>
        <v>9280.2722692307689</v>
      </c>
      <c r="R16" s="148">
        <f t="shared" si="13"/>
        <v>11910.92</v>
      </c>
      <c r="S16" s="148">
        <f t="shared" si="14"/>
        <v>0.46</v>
      </c>
      <c r="T16" s="149">
        <f t="shared" si="3"/>
        <v>13811.299192307692</v>
      </c>
      <c r="U16" s="150">
        <f t="shared" si="15"/>
        <v>0.54</v>
      </c>
      <c r="V16" s="151">
        <f t="shared" si="16"/>
        <v>25722.21919230769</v>
      </c>
      <c r="W16" s="147">
        <f t="shared" si="17"/>
        <v>2143.52</v>
      </c>
      <c r="X16" s="152">
        <f t="shared" si="4"/>
        <v>1056.5643882115385</v>
      </c>
      <c r="Y16" s="152">
        <f t="shared" si="5"/>
        <v>1425.3260766461538</v>
      </c>
      <c r="Z16" s="152">
        <f t="shared" si="6"/>
        <v>138.11299192307692</v>
      </c>
      <c r="AA16" s="152">
        <f t="shared" si="7"/>
        <v>138.11299192307692</v>
      </c>
      <c r="AB16" s="153">
        <f t="shared" si="8"/>
        <v>2245.96</v>
      </c>
      <c r="AC16" s="147">
        <f t="shared" si="9"/>
        <v>14.56</v>
      </c>
      <c r="AD16" s="154">
        <f t="shared" si="10"/>
        <v>5018.6364487038472</v>
      </c>
      <c r="AE16" s="155">
        <f t="shared" si="11"/>
        <v>18829.93564101154</v>
      </c>
    </row>
    <row r="17" spans="1:31" ht="21" customHeight="1" thickBot="1" x14ac:dyDescent="0.3">
      <c r="A17" s="166"/>
      <c r="B17" s="166"/>
      <c r="C17" s="166"/>
      <c r="D17" s="167"/>
      <c r="E17" s="166"/>
      <c r="F17" s="168">
        <f t="shared" ref="F17:K17" si="18">SUM(F9:F16)</f>
        <v>272686</v>
      </c>
      <c r="G17" s="168">
        <f t="shared" si="18"/>
        <v>6651</v>
      </c>
      <c r="H17" s="168">
        <f t="shared" si="18"/>
        <v>60518</v>
      </c>
      <c r="I17" s="168">
        <f t="shared" si="18"/>
        <v>69184.070000000007</v>
      </c>
      <c r="J17" s="168">
        <f t="shared" si="18"/>
        <v>205517</v>
      </c>
      <c r="K17" s="168">
        <f t="shared" si="18"/>
        <v>211682.51</v>
      </c>
      <c r="L17" s="170"/>
      <c r="M17" s="171"/>
      <c r="N17" s="172"/>
      <c r="O17" s="172"/>
      <c r="P17" s="168">
        <f>SUM(P9:P16)</f>
        <v>68769.149999999994</v>
      </c>
      <c r="Q17" s="168">
        <f>SUM(Q9:Q16)</f>
        <v>140850.28550000003</v>
      </c>
      <c r="R17" s="169">
        <f>SUM(R9:R16)</f>
        <v>69184.070000000007</v>
      </c>
      <c r="S17" s="169"/>
      <c r="T17" s="174">
        <f>SUM(T9:T16)</f>
        <v>209619.43550000002</v>
      </c>
      <c r="U17" s="207"/>
      <c r="V17" s="208">
        <f t="shared" si="16"/>
        <v>278803.50550000003</v>
      </c>
      <c r="W17" s="186">
        <f t="shared" ref="W17:AE17" si="19">SUM(W9:W16)</f>
        <v>23233.629999999997</v>
      </c>
      <c r="X17" s="187">
        <f t="shared" si="19"/>
        <v>16035.886815749998</v>
      </c>
      <c r="Y17" s="209">
        <f t="shared" si="19"/>
        <v>21632.7257436</v>
      </c>
      <c r="Z17" s="209">
        <f t="shared" si="19"/>
        <v>2096.1943550000001</v>
      </c>
      <c r="AA17" s="209">
        <f t="shared" si="19"/>
        <v>2096.1943550000001</v>
      </c>
      <c r="AB17" s="209">
        <f t="shared" si="19"/>
        <v>25454.100000000002</v>
      </c>
      <c r="AC17" s="209">
        <f t="shared" si="19"/>
        <v>165.05</v>
      </c>
      <c r="AD17" s="188">
        <f t="shared" si="19"/>
        <v>67480.151269350012</v>
      </c>
      <c r="AE17" s="189">
        <f t="shared" si="19"/>
        <v>277099.58676935005</v>
      </c>
    </row>
    <row r="18" spans="1:31" ht="15.75" thickTop="1" x14ac:dyDescent="0.25">
      <c r="A18" s="177"/>
      <c r="B18" s="166"/>
      <c r="C18" s="166"/>
      <c r="D18" s="167"/>
      <c r="E18" s="166"/>
      <c r="F18" s="166"/>
      <c r="G18" s="166"/>
      <c r="H18" s="166"/>
      <c r="I18" s="166"/>
      <c r="J18" s="170"/>
      <c r="K18" s="170"/>
      <c r="L18" s="170"/>
      <c r="M18" s="170"/>
      <c r="N18" s="172"/>
      <c r="O18" s="172"/>
      <c r="P18" s="170"/>
      <c r="Q18" s="170"/>
      <c r="R18" s="170"/>
      <c r="S18" s="170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</row>
    <row r="19" spans="1:31" x14ac:dyDescent="0.25">
      <c r="A19" s="178" t="s">
        <v>23</v>
      </c>
      <c r="B19" s="166"/>
      <c r="C19" s="166"/>
      <c r="D19" s="167"/>
      <c r="E19" s="166"/>
      <c r="F19" s="166"/>
      <c r="G19" s="166"/>
      <c r="H19" s="166"/>
      <c r="I19" s="166"/>
      <c r="J19" s="170"/>
      <c r="K19" s="170"/>
      <c r="L19" s="170"/>
      <c r="M19" s="170"/>
      <c r="N19" s="172"/>
      <c r="O19" s="172"/>
      <c r="P19" s="170"/>
      <c r="Q19" s="170"/>
      <c r="R19" s="170"/>
      <c r="S19" s="170"/>
      <c r="T19" s="111"/>
      <c r="U19" s="111"/>
      <c r="V19" s="111"/>
      <c r="W19" s="111"/>
      <c r="X19" s="210">
        <v>15722</v>
      </c>
      <c r="Y19" s="210">
        <v>21209</v>
      </c>
      <c r="Z19" s="210">
        <v>2055</v>
      </c>
      <c r="AA19" s="210">
        <v>2055</v>
      </c>
      <c r="AB19" s="210">
        <v>25454</v>
      </c>
      <c r="AC19" s="210">
        <v>165</v>
      </c>
      <c r="AD19" s="111"/>
      <c r="AE19" s="111"/>
    </row>
    <row r="20" spans="1:31" x14ac:dyDescent="0.25">
      <c r="A20" s="111">
        <v>1</v>
      </c>
      <c r="B20" s="179" t="s">
        <v>177</v>
      </c>
      <c r="C20" s="166"/>
      <c r="D20" s="167"/>
      <c r="E20" s="166"/>
      <c r="F20" s="166"/>
      <c r="G20" s="166"/>
      <c r="H20" s="166"/>
      <c r="I20" s="166"/>
      <c r="J20" s="170"/>
      <c r="K20" s="170"/>
      <c r="L20" s="170"/>
      <c r="M20" s="170"/>
      <c r="N20" s="172"/>
      <c r="O20" s="172"/>
      <c r="P20" s="170"/>
      <c r="Q20" s="170"/>
      <c r="R20" s="170"/>
      <c r="S20" s="170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</row>
    <row r="21" spans="1:31" x14ac:dyDescent="0.25">
      <c r="A21" s="111">
        <v>2</v>
      </c>
      <c r="B21" s="179" t="s">
        <v>134</v>
      </c>
      <c r="C21" s="166"/>
      <c r="D21" s="166"/>
      <c r="E21" s="167"/>
      <c r="F21" s="166"/>
      <c r="G21" s="166"/>
      <c r="H21" s="166"/>
      <c r="I21" s="166"/>
      <c r="J21" s="170"/>
      <c r="K21" s="170"/>
      <c r="L21" s="170"/>
      <c r="M21" s="170"/>
      <c r="N21" s="172"/>
      <c r="O21" s="172"/>
      <c r="P21" s="170"/>
      <c r="Q21" s="170"/>
      <c r="R21" s="170"/>
      <c r="S21" s="170"/>
      <c r="T21" s="111"/>
      <c r="U21" s="111"/>
      <c r="V21" s="111"/>
      <c r="W21" s="111"/>
      <c r="X21" s="111">
        <v>272177</v>
      </c>
      <c r="Y21" s="111"/>
      <c r="Z21" s="111"/>
      <c r="AA21" s="111"/>
      <c r="AB21" s="111"/>
      <c r="AC21" s="111"/>
      <c r="AD21" s="111"/>
      <c r="AE21" s="111"/>
    </row>
    <row r="22" spans="1:31" x14ac:dyDescent="0.25">
      <c r="A22" s="111">
        <v>3</v>
      </c>
      <c r="B22" s="179" t="s">
        <v>135</v>
      </c>
      <c r="C22" s="166"/>
      <c r="D22" s="166"/>
      <c r="E22" s="167"/>
      <c r="F22" s="166"/>
      <c r="G22" s="166"/>
      <c r="H22" s="166"/>
      <c r="I22" s="166"/>
      <c r="J22" s="170"/>
      <c r="K22" s="170"/>
      <c r="L22" s="170"/>
      <c r="M22" s="170"/>
      <c r="N22" s="172"/>
      <c r="O22" s="172"/>
      <c r="P22" s="170"/>
      <c r="Q22" s="170"/>
      <c r="R22" s="170"/>
      <c r="S22" s="170"/>
      <c r="T22" s="111"/>
      <c r="U22" s="111"/>
      <c r="V22" s="111"/>
      <c r="W22" s="111"/>
      <c r="X22" s="111">
        <v>68044</v>
      </c>
      <c r="Y22" s="111"/>
      <c r="Z22" s="111"/>
      <c r="AA22" s="111"/>
      <c r="AB22" s="111"/>
      <c r="AC22" s="111"/>
      <c r="AD22" s="111"/>
      <c r="AE22" s="111"/>
    </row>
    <row r="23" spans="1:31" x14ac:dyDescent="0.25">
      <c r="A23" s="111">
        <v>4</v>
      </c>
      <c r="B23" s="179" t="s">
        <v>136</v>
      </c>
      <c r="C23" s="166"/>
      <c r="D23" s="166"/>
      <c r="E23" s="167"/>
      <c r="F23" s="166"/>
      <c r="G23" s="166"/>
      <c r="H23" s="166"/>
      <c r="I23" s="166"/>
      <c r="J23" s="170"/>
      <c r="K23" s="170"/>
      <c r="L23" s="170"/>
      <c r="M23" s="170"/>
      <c r="N23" s="172"/>
      <c r="O23" s="172"/>
      <c r="P23" s="170"/>
      <c r="Q23" s="170"/>
      <c r="R23" s="170"/>
      <c r="S23" s="170"/>
      <c r="T23" s="111"/>
      <c r="U23" s="111"/>
      <c r="V23" s="111"/>
      <c r="W23" s="111"/>
      <c r="X23" s="111">
        <v>340221</v>
      </c>
      <c r="Y23" s="111"/>
      <c r="Z23" s="111"/>
      <c r="AA23" s="111"/>
      <c r="AB23" s="111"/>
      <c r="AC23" s="111"/>
      <c r="AD23" s="111"/>
      <c r="AE23" s="111"/>
    </row>
    <row r="24" spans="1:31" x14ac:dyDescent="0.25">
      <c r="A24" s="111"/>
      <c r="B24" s="166"/>
      <c r="C24" s="166"/>
      <c r="D24" s="167"/>
      <c r="E24" s="166"/>
      <c r="F24" s="166"/>
      <c r="G24" s="166"/>
      <c r="H24" s="166"/>
      <c r="I24" s="166"/>
      <c r="J24" s="170"/>
      <c r="K24" s="170"/>
      <c r="L24" s="170"/>
      <c r="M24" s="170"/>
      <c r="N24" s="172"/>
      <c r="O24" s="172"/>
      <c r="P24" s="170"/>
      <c r="Q24" s="170"/>
      <c r="R24" s="170"/>
      <c r="S24" s="170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</row>
    <row r="25" spans="1:31" x14ac:dyDescent="0.25">
      <c r="A25" s="111"/>
      <c r="B25" s="166"/>
      <c r="C25" s="166"/>
      <c r="D25" s="167"/>
      <c r="E25" s="166"/>
      <c r="F25" s="166"/>
      <c r="G25" s="166"/>
      <c r="H25" s="166"/>
      <c r="I25" s="166"/>
      <c r="J25" s="170"/>
      <c r="K25" s="170"/>
      <c r="L25" s="170"/>
      <c r="M25" s="170"/>
      <c r="N25" s="172"/>
      <c r="O25" s="172"/>
      <c r="P25" s="170"/>
      <c r="Q25" s="170"/>
      <c r="R25" s="170"/>
      <c r="S25" s="170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ht="18" customHeight="1" x14ac:dyDescent="0.25">
      <c r="A26" s="111">
        <v>5</v>
      </c>
      <c r="B26" s="179" t="s">
        <v>137</v>
      </c>
      <c r="C26" s="166"/>
      <c r="D26" s="167"/>
      <c r="E26" s="166"/>
      <c r="F26" s="166"/>
      <c r="G26" s="166"/>
      <c r="H26" s="166"/>
      <c r="I26" s="166"/>
      <c r="J26" s="170"/>
      <c r="K26" s="170"/>
      <c r="L26" s="170"/>
      <c r="M26" s="170"/>
      <c r="N26" s="172"/>
      <c r="O26" s="172"/>
      <c r="P26" s="170"/>
      <c r="Q26" s="170"/>
      <c r="R26" s="170"/>
      <c r="S26" s="170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</row>
    <row r="27" spans="1:31" x14ac:dyDescent="0.25">
      <c r="A27" s="170"/>
      <c r="B27" s="170"/>
      <c r="C27" s="170"/>
      <c r="D27" s="180"/>
      <c r="E27" s="170"/>
      <c r="F27" s="170"/>
      <c r="G27" s="170"/>
      <c r="H27" s="166"/>
      <c r="I27" s="166"/>
      <c r="J27" s="170"/>
      <c r="K27" s="170"/>
      <c r="L27" s="170"/>
      <c r="M27" s="170"/>
      <c r="N27" s="172"/>
      <c r="O27" s="172"/>
      <c r="P27" s="170"/>
      <c r="Q27" s="170"/>
      <c r="R27" s="170"/>
      <c r="S27" s="170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ht="18" customHeight="1" x14ac:dyDescent="0.25">
      <c r="A28" s="111">
        <v>6</v>
      </c>
      <c r="B28" s="181" t="s">
        <v>138</v>
      </c>
      <c r="C28" s="111"/>
      <c r="D28" s="111"/>
      <c r="E28" s="111"/>
      <c r="F28" s="111"/>
      <c r="G28" s="111"/>
      <c r="H28" s="170"/>
      <c r="I28" s="170"/>
      <c r="J28" s="172"/>
      <c r="K28" s="172"/>
      <c r="L28" s="172"/>
      <c r="M28" s="172"/>
      <c r="N28" s="172"/>
      <c r="O28" s="172"/>
      <c r="P28" s="170"/>
      <c r="Q28" s="170"/>
      <c r="R28" s="170"/>
      <c r="S28" s="170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</row>
    <row r="30" spans="1:31" s="384" customFormat="1" x14ac:dyDescent="0.25"/>
    <row r="31" spans="1:31" ht="18.75" x14ac:dyDescent="0.3">
      <c r="C31" s="182" t="s">
        <v>303</v>
      </c>
      <c r="D31" s="182"/>
    </row>
    <row r="33" spans="1:3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5"/>
      <c r="K33" s="115"/>
      <c r="L33" s="405" t="s">
        <v>86</v>
      </c>
      <c r="M33" s="406"/>
      <c r="N33" s="116"/>
      <c r="O33" s="116"/>
      <c r="P33" s="117">
        <v>2013</v>
      </c>
      <c r="Q33" s="117">
        <v>2014</v>
      </c>
      <c r="R33" s="117"/>
      <c r="S33" s="117"/>
      <c r="T33" s="118"/>
      <c r="U33" s="119"/>
      <c r="V33" s="119"/>
      <c r="W33" s="120"/>
      <c r="X33" s="407" t="s">
        <v>4</v>
      </c>
      <c r="Y33" s="408"/>
      <c r="Z33" s="408"/>
      <c r="AA33" s="409"/>
      <c r="AB33" s="408" t="s">
        <v>5</v>
      </c>
      <c r="AC33" s="409"/>
      <c r="AD33" s="121"/>
      <c r="AE33" s="118"/>
    </row>
    <row r="34" spans="1:31" ht="64.5" x14ac:dyDescent="0.25">
      <c r="A34" s="122" t="s">
        <v>6</v>
      </c>
      <c r="B34" s="122" t="s">
        <v>87</v>
      </c>
      <c r="C34" s="122" t="s">
        <v>88</v>
      </c>
      <c r="D34" s="123" t="s">
        <v>7</v>
      </c>
      <c r="E34" s="124" t="s">
        <v>89</v>
      </c>
      <c r="F34" s="125" t="s">
        <v>90</v>
      </c>
      <c r="G34" s="124" t="s">
        <v>91</v>
      </c>
      <c r="H34" s="124" t="s">
        <v>8</v>
      </c>
      <c r="I34" s="124" t="s">
        <v>92</v>
      </c>
      <c r="J34" s="126" t="s">
        <v>93</v>
      </c>
      <c r="K34" s="127" t="s">
        <v>94</v>
      </c>
      <c r="L34" s="124" t="s">
        <v>95</v>
      </c>
      <c r="M34" s="124" t="s">
        <v>96</v>
      </c>
      <c r="N34" s="125" t="s">
        <v>97</v>
      </c>
      <c r="O34" s="124" t="s">
        <v>74</v>
      </c>
      <c r="P34" s="124" t="s">
        <v>98</v>
      </c>
      <c r="Q34" s="124" t="s">
        <v>99</v>
      </c>
      <c r="R34" s="128" t="s">
        <v>100</v>
      </c>
      <c r="S34" s="128" t="s">
        <v>101</v>
      </c>
      <c r="T34" s="129" t="s">
        <v>162</v>
      </c>
      <c r="U34" s="129" t="s">
        <v>101</v>
      </c>
      <c r="V34" s="130" t="s">
        <v>102</v>
      </c>
      <c r="W34" s="123" t="s">
        <v>10</v>
      </c>
      <c r="X34" s="131" t="s">
        <v>11</v>
      </c>
      <c r="Y34" s="131" t="s">
        <v>77</v>
      </c>
      <c r="Z34" s="131" t="s">
        <v>12</v>
      </c>
      <c r="AA34" s="131" t="s">
        <v>78</v>
      </c>
      <c r="AB34" s="132" t="s">
        <v>13</v>
      </c>
      <c r="AC34" s="133" t="s">
        <v>14</v>
      </c>
      <c r="AD34" s="134" t="s">
        <v>15</v>
      </c>
      <c r="AE34" s="135" t="s">
        <v>103</v>
      </c>
    </row>
    <row r="35" spans="1:31" ht="39" x14ac:dyDescent="0.25">
      <c r="A35" s="156" t="s">
        <v>17</v>
      </c>
      <c r="B35" s="156" t="s">
        <v>163</v>
      </c>
      <c r="C35" s="383" t="s">
        <v>304</v>
      </c>
      <c r="D35" s="199" t="s">
        <v>164</v>
      </c>
      <c r="E35" s="200" t="s">
        <v>107</v>
      </c>
      <c r="F35" s="201">
        <v>48149</v>
      </c>
      <c r="G35" s="202">
        <v>1820</v>
      </c>
      <c r="H35" s="202">
        <v>9952</v>
      </c>
      <c r="I35" s="142">
        <f>(G35+H35)*1.03</f>
        <v>12125.16</v>
      </c>
      <c r="J35" s="203">
        <v>36377</v>
      </c>
      <c r="K35" s="144">
        <f t="shared" ref="K35:K42" si="20">J35*1.03</f>
        <v>37468.31</v>
      </c>
      <c r="L35" s="145">
        <f t="shared" ref="L35:M42" si="21">J35/26/80</f>
        <v>17.488942307692305</v>
      </c>
      <c r="M35" s="145">
        <f t="shared" si="21"/>
        <v>18.013610576923078</v>
      </c>
      <c r="N35" s="146">
        <v>696</v>
      </c>
      <c r="O35" s="146">
        <v>1384</v>
      </c>
      <c r="P35" s="147">
        <f t="shared" ref="P35:Q42" si="22">L35*N35</f>
        <v>12172.303846153844</v>
      </c>
      <c r="Q35" s="147">
        <f t="shared" si="22"/>
        <v>24930.837038461541</v>
      </c>
      <c r="R35" s="148">
        <f>SUM(I35)</f>
        <v>12125.16</v>
      </c>
      <c r="S35" s="148">
        <f>ROUND(R35/V35,2)</f>
        <v>0.25</v>
      </c>
      <c r="T35" s="149">
        <f t="shared" ref="T35:T42" si="23">SUM(P35:Q35)</f>
        <v>37103.140884615386</v>
      </c>
      <c r="U35" s="150">
        <f>ROUND(T35/V35,2)</f>
        <v>0.75</v>
      </c>
      <c r="V35" s="151">
        <f>SUM(R35+T35)</f>
        <v>49228.300884615383</v>
      </c>
      <c r="W35" s="147">
        <f>ROUND(V35/12,2)</f>
        <v>4102.3599999999997</v>
      </c>
      <c r="X35" s="152">
        <f>R35*0.0765</f>
        <v>927.57474000000002</v>
      </c>
      <c r="Y35" s="152">
        <f>R35*0.1032</f>
        <v>1251.3165119999999</v>
      </c>
      <c r="Z35" s="152">
        <f>R35*0.01</f>
        <v>121.2516</v>
      </c>
      <c r="AA35" s="152">
        <f>R35*0.01</f>
        <v>121.2516</v>
      </c>
      <c r="AB35" s="153">
        <f>ROUND((I35/F35)*4164,2)</f>
        <v>1048.5999999999999</v>
      </c>
      <c r="AC35" s="147">
        <f>ROUND((I35/F35)*27,2)</f>
        <v>6.8</v>
      </c>
      <c r="AD35" s="154">
        <f t="shared" ref="AD35:AD42" si="24">SUM(X35:AC35)</f>
        <v>3476.7944520000001</v>
      </c>
      <c r="AE35" s="155">
        <f>R35+AD35</f>
        <v>15601.954452</v>
      </c>
    </row>
    <row r="36" spans="1:31" ht="39" x14ac:dyDescent="0.25">
      <c r="A36" s="156" t="s">
        <v>19</v>
      </c>
      <c r="B36" s="156" t="s">
        <v>165</v>
      </c>
      <c r="C36" s="383" t="s">
        <v>304</v>
      </c>
      <c r="D36" s="204" t="s">
        <v>164</v>
      </c>
      <c r="E36" s="200" t="s">
        <v>107</v>
      </c>
      <c r="F36" s="201">
        <v>48149</v>
      </c>
      <c r="G36" s="157">
        <v>0</v>
      </c>
      <c r="H36" s="205">
        <v>11772</v>
      </c>
      <c r="I36" s="142">
        <f t="shared" ref="I36:I42" si="25">(G36+H36)*1.03</f>
        <v>12125.16</v>
      </c>
      <c r="J36" s="203">
        <v>36377</v>
      </c>
      <c r="K36" s="144">
        <f t="shared" si="20"/>
        <v>37468.31</v>
      </c>
      <c r="L36" s="145">
        <f t="shared" si="21"/>
        <v>17.488942307692305</v>
      </c>
      <c r="M36" s="145">
        <f t="shared" si="21"/>
        <v>18.013610576923078</v>
      </c>
      <c r="N36" s="146">
        <v>696</v>
      </c>
      <c r="O36" s="146">
        <v>1384</v>
      </c>
      <c r="P36" s="147">
        <f t="shared" si="22"/>
        <v>12172.303846153844</v>
      </c>
      <c r="Q36" s="147">
        <f t="shared" si="22"/>
        <v>24930.837038461541</v>
      </c>
      <c r="R36" s="148">
        <f t="shared" ref="R36:R42" si="26">SUM(I36)</f>
        <v>12125.16</v>
      </c>
      <c r="S36" s="148">
        <f t="shared" ref="S36:S42" si="27">ROUND(R36/V36,2)</f>
        <v>0.25</v>
      </c>
      <c r="T36" s="149">
        <f t="shared" si="23"/>
        <v>37103.140884615386</v>
      </c>
      <c r="U36" s="150">
        <f t="shared" ref="U36:U42" si="28">ROUND(T36/V36,2)</f>
        <v>0.75</v>
      </c>
      <c r="V36" s="151">
        <f t="shared" ref="V36:V43" si="29">SUM(R36+T36)</f>
        <v>49228.300884615383</v>
      </c>
      <c r="W36" s="147">
        <f>ROUND(V36/12,2)</f>
        <v>4102.3599999999997</v>
      </c>
      <c r="X36" s="152">
        <f t="shared" ref="X36:X42" si="30">R36*0.0765</f>
        <v>927.57474000000002</v>
      </c>
      <c r="Y36" s="152">
        <f t="shared" ref="Y36:Y42" si="31">R36*0.1032</f>
        <v>1251.3165119999999</v>
      </c>
      <c r="Z36" s="152">
        <f t="shared" ref="Z36:Z42" si="32">R36*0.01</f>
        <v>121.2516</v>
      </c>
      <c r="AA36" s="152">
        <f t="shared" ref="AA36:AA42" si="33">R36*0.01</f>
        <v>121.2516</v>
      </c>
      <c r="AB36" s="153">
        <f t="shared" ref="AB36:AB42" si="34">ROUND((I36/F36)*4164,2)</f>
        <v>1048.5999999999999</v>
      </c>
      <c r="AC36" s="147">
        <f t="shared" ref="AC36:AC42" si="35">ROUND((I36/F36)*27,2)</f>
        <v>6.8</v>
      </c>
      <c r="AD36" s="154">
        <f t="shared" si="24"/>
        <v>3476.7944520000001</v>
      </c>
      <c r="AE36" s="155">
        <f t="shared" ref="AE36:AE42" si="36">R36+AD36</f>
        <v>15601.954452</v>
      </c>
    </row>
    <row r="37" spans="1:31" ht="39" x14ac:dyDescent="0.25">
      <c r="A37" s="156" t="s">
        <v>21</v>
      </c>
      <c r="B37" s="156" t="s">
        <v>166</v>
      </c>
      <c r="C37" s="383" t="s">
        <v>304</v>
      </c>
      <c r="D37" s="204" t="s">
        <v>164</v>
      </c>
      <c r="E37" s="200" t="s">
        <v>107</v>
      </c>
      <c r="F37" s="201">
        <v>48149</v>
      </c>
      <c r="G37" s="202">
        <v>1593</v>
      </c>
      <c r="H37" s="205">
        <v>14637</v>
      </c>
      <c r="I37" s="142">
        <f t="shared" si="25"/>
        <v>16716.900000000001</v>
      </c>
      <c r="J37" s="203">
        <v>31919</v>
      </c>
      <c r="K37" s="144">
        <f t="shared" si="20"/>
        <v>32876.57</v>
      </c>
      <c r="L37" s="145">
        <f t="shared" si="21"/>
        <v>15.345673076923077</v>
      </c>
      <c r="M37" s="145">
        <f t="shared" si="21"/>
        <v>15.80604326923077</v>
      </c>
      <c r="N37" s="146">
        <v>696</v>
      </c>
      <c r="O37" s="146">
        <v>1384</v>
      </c>
      <c r="P37" s="147">
        <f t="shared" si="22"/>
        <v>10680.588461538462</v>
      </c>
      <c r="Q37" s="147">
        <f t="shared" si="22"/>
        <v>21875.563884615385</v>
      </c>
      <c r="R37" s="148">
        <f t="shared" si="26"/>
        <v>16716.900000000001</v>
      </c>
      <c r="S37" s="148">
        <f t="shared" si="27"/>
        <v>0.34</v>
      </c>
      <c r="T37" s="149">
        <f t="shared" si="23"/>
        <v>32556.152346153845</v>
      </c>
      <c r="U37" s="150">
        <f t="shared" si="28"/>
        <v>0.66</v>
      </c>
      <c r="V37" s="151">
        <f t="shared" si="29"/>
        <v>49273.052346153847</v>
      </c>
      <c r="W37" s="147">
        <f t="shared" ref="W37:W42" si="37">ROUND(V37/12,2)</f>
        <v>4106.09</v>
      </c>
      <c r="X37" s="152">
        <f t="shared" si="30"/>
        <v>1278.84285</v>
      </c>
      <c r="Y37" s="152">
        <f t="shared" si="31"/>
        <v>1725.1840800000002</v>
      </c>
      <c r="Z37" s="152">
        <f t="shared" si="32"/>
        <v>167.16900000000001</v>
      </c>
      <c r="AA37" s="152">
        <f t="shared" si="33"/>
        <v>167.16900000000001</v>
      </c>
      <c r="AB37" s="153">
        <f t="shared" si="34"/>
        <v>1445.7</v>
      </c>
      <c r="AC37" s="147">
        <f t="shared" si="35"/>
        <v>9.3699999999999992</v>
      </c>
      <c r="AD37" s="154">
        <f t="shared" si="24"/>
        <v>4793.4349299999994</v>
      </c>
      <c r="AE37" s="155">
        <f t="shared" si="36"/>
        <v>21510.334930000001</v>
      </c>
    </row>
    <row r="38" spans="1:31" ht="26.25" x14ac:dyDescent="0.25">
      <c r="A38" s="156" t="s">
        <v>116</v>
      </c>
      <c r="B38" s="156" t="s">
        <v>167</v>
      </c>
      <c r="C38" s="383" t="s">
        <v>304</v>
      </c>
      <c r="D38" s="204" t="s">
        <v>168</v>
      </c>
      <c r="E38" s="206" t="s">
        <v>115</v>
      </c>
      <c r="F38" s="201">
        <v>26614</v>
      </c>
      <c r="G38" s="202">
        <v>1167</v>
      </c>
      <c r="H38" s="205">
        <v>2138</v>
      </c>
      <c r="I38" s="142">
        <f t="shared" si="25"/>
        <v>3404.15</v>
      </c>
      <c r="J38" s="203">
        <v>23309</v>
      </c>
      <c r="K38" s="144">
        <f t="shared" si="20"/>
        <v>24008.27</v>
      </c>
      <c r="L38" s="145">
        <f t="shared" si="21"/>
        <v>11.206250000000001</v>
      </c>
      <c r="M38" s="145">
        <f t="shared" si="21"/>
        <v>11.5424375</v>
      </c>
      <c r="N38" s="146">
        <v>696</v>
      </c>
      <c r="O38" s="146">
        <v>1384</v>
      </c>
      <c r="P38" s="147">
        <f t="shared" si="22"/>
        <v>7799.55</v>
      </c>
      <c r="Q38" s="147">
        <f t="shared" si="22"/>
        <v>15974.7335</v>
      </c>
      <c r="R38" s="148">
        <f t="shared" si="26"/>
        <v>3404.15</v>
      </c>
      <c r="S38" s="148">
        <f t="shared" si="27"/>
        <v>0.13</v>
      </c>
      <c r="T38" s="149">
        <f t="shared" si="23"/>
        <v>23774.283500000001</v>
      </c>
      <c r="U38" s="150">
        <f t="shared" si="28"/>
        <v>0.87</v>
      </c>
      <c r="V38" s="151">
        <f t="shared" si="29"/>
        <v>27178.433500000003</v>
      </c>
      <c r="W38" s="147">
        <f t="shared" si="37"/>
        <v>2264.87</v>
      </c>
      <c r="X38" s="152">
        <f t="shared" si="30"/>
        <v>260.41747500000002</v>
      </c>
      <c r="Y38" s="152">
        <f t="shared" si="31"/>
        <v>351.30828000000002</v>
      </c>
      <c r="Z38" s="152">
        <f t="shared" si="32"/>
        <v>34.041499999999999</v>
      </c>
      <c r="AA38" s="152">
        <f t="shared" si="33"/>
        <v>34.041499999999999</v>
      </c>
      <c r="AB38" s="153">
        <f t="shared" si="34"/>
        <v>532.61</v>
      </c>
      <c r="AC38" s="147">
        <f t="shared" si="35"/>
        <v>3.45</v>
      </c>
      <c r="AD38" s="154">
        <f t="shared" si="24"/>
        <v>1215.8687550000002</v>
      </c>
      <c r="AE38" s="155">
        <f t="shared" si="36"/>
        <v>4620.0187550000001</v>
      </c>
    </row>
    <row r="39" spans="1:31" ht="39" x14ac:dyDescent="0.25">
      <c r="A39" s="156" t="s">
        <v>169</v>
      </c>
      <c r="B39" s="156" t="s">
        <v>170</v>
      </c>
      <c r="C39" s="383" t="s">
        <v>304</v>
      </c>
      <c r="D39" s="204" t="s">
        <v>171</v>
      </c>
      <c r="E39" s="206" t="s">
        <v>119</v>
      </c>
      <c r="F39" s="201">
        <v>25819</v>
      </c>
      <c r="G39" s="202">
        <v>1146</v>
      </c>
      <c r="H39" s="205">
        <v>1708</v>
      </c>
      <c r="I39" s="142">
        <f t="shared" si="25"/>
        <v>2939.62</v>
      </c>
      <c r="J39" s="203">
        <v>22965</v>
      </c>
      <c r="K39" s="144">
        <f t="shared" si="20"/>
        <v>23653.95</v>
      </c>
      <c r="L39" s="145">
        <f t="shared" si="21"/>
        <v>11.040865384615383</v>
      </c>
      <c r="M39" s="145">
        <f t="shared" si="21"/>
        <v>11.372091346153846</v>
      </c>
      <c r="N39" s="146">
        <v>696</v>
      </c>
      <c r="O39" s="146">
        <v>1384</v>
      </c>
      <c r="P39" s="147">
        <f t="shared" si="22"/>
        <v>7684.4423076923067</v>
      </c>
      <c r="Q39" s="147">
        <f t="shared" si="22"/>
        <v>15738.974423076923</v>
      </c>
      <c r="R39" s="148">
        <f t="shared" si="26"/>
        <v>2939.62</v>
      </c>
      <c r="S39" s="148">
        <f t="shared" si="27"/>
        <v>0.11</v>
      </c>
      <c r="T39" s="149">
        <f t="shared" si="23"/>
        <v>23423.41673076923</v>
      </c>
      <c r="U39" s="150">
        <f t="shared" si="28"/>
        <v>0.89</v>
      </c>
      <c r="V39" s="151">
        <f t="shared" si="29"/>
        <v>26363.036730769229</v>
      </c>
      <c r="W39" s="147">
        <f t="shared" si="37"/>
        <v>2196.92</v>
      </c>
      <c r="X39" s="152">
        <f t="shared" si="30"/>
        <v>224.88092999999998</v>
      </c>
      <c r="Y39" s="152">
        <f t="shared" si="31"/>
        <v>303.36878400000001</v>
      </c>
      <c r="Z39" s="152">
        <f t="shared" si="32"/>
        <v>29.3962</v>
      </c>
      <c r="AA39" s="152">
        <f t="shared" si="33"/>
        <v>29.3962</v>
      </c>
      <c r="AB39" s="153">
        <f t="shared" si="34"/>
        <v>474.09</v>
      </c>
      <c r="AC39" s="147">
        <f t="shared" si="35"/>
        <v>3.07</v>
      </c>
      <c r="AD39" s="154">
        <f t="shared" si="24"/>
        <v>1064.2021139999999</v>
      </c>
      <c r="AE39" s="155">
        <f t="shared" si="36"/>
        <v>4003.8221139999996</v>
      </c>
    </row>
    <row r="40" spans="1:31" ht="26.25" x14ac:dyDescent="0.25">
      <c r="A40" s="156" t="s">
        <v>120</v>
      </c>
      <c r="B40" s="156" t="s">
        <v>172</v>
      </c>
      <c r="C40" s="383" t="s">
        <v>304</v>
      </c>
      <c r="D40" s="204" t="s">
        <v>168</v>
      </c>
      <c r="E40" s="206" t="s">
        <v>123</v>
      </c>
      <c r="F40" s="201">
        <v>24087</v>
      </c>
      <c r="G40" s="202">
        <v>36</v>
      </c>
      <c r="H40" s="205">
        <v>542</v>
      </c>
      <c r="I40" s="142">
        <f t="shared" si="25"/>
        <v>595.34</v>
      </c>
      <c r="J40" s="203">
        <v>23509</v>
      </c>
      <c r="K40" s="144">
        <f t="shared" si="20"/>
        <v>24214.27</v>
      </c>
      <c r="L40" s="145">
        <f t="shared" si="21"/>
        <v>11.302403846153847</v>
      </c>
      <c r="M40" s="145">
        <f t="shared" si="21"/>
        <v>11.641475961538461</v>
      </c>
      <c r="N40" s="146">
        <v>696</v>
      </c>
      <c r="O40" s="146">
        <v>1384</v>
      </c>
      <c r="P40" s="147">
        <f t="shared" si="22"/>
        <v>7866.4730769230782</v>
      </c>
      <c r="Q40" s="147">
        <f t="shared" si="22"/>
        <v>16111.80273076923</v>
      </c>
      <c r="R40" s="148">
        <f t="shared" si="26"/>
        <v>595.34</v>
      </c>
      <c r="S40" s="148">
        <f t="shared" si="27"/>
        <v>0.02</v>
      </c>
      <c r="T40" s="149">
        <f t="shared" si="23"/>
        <v>23978.275807692309</v>
      </c>
      <c r="U40" s="150">
        <f t="shared" si="28"/>
        <v>0.98</v>
      </c>
      <c r="V40" s="151">
        <f t="shared" si="29"/>
        <v>24573.615807692309</v>
      </c>
      <c r="W40" s="147">
        <f t="shared" si="37"/>
        <v>2047.8</v>
      </c>
      <c r="X40" s="152">
        <f t="shared" si="30"/>
        <v>45.543510000000005</v>
      </c>
      <c r="Y40" s="152">
        <f t="shared" si="31"/>
        <v>61.439088000000005</v>
      </c>
      <c r="Z40" s="152">
        <f t="shared" si="32"/>
        <v>5.9534000000000002</v>
      </c>
      <c r="AA40" s="152">
        <f t="shared" si="33"/>
        <v>5.9534000000000002</v>
      </c>
      <c r="AB40" s="153">
        <f t="shared" si="34"/>
        <v>102.92</v>
      </c>
      <c r="AC40" s="147">
        <f t="shared" si="35"/>
        <v>0.67</v>
      </c>
      <c r="AD40" s="154">
        <f t="shared" si="24"/>
        <v>222.479398</v>
      </c>
      <c r="AE40" s="155">
        <f t="shared" si="36"/>
        <v>817.81939800000009</v>
      </c>
    </row>
    <row r="41" spans="1:31" ht="26.25" x14ac:dyDescent="0.25">
      <c r="A41" s="156" t="s">
        <v>128</v>
      </c>
      <c r="B41" s="156" t="s">
        <v>173</v>
      </c>
      <c r="C41" s="383" t="s">
        <v>304</v>
      </c>
      <c r="D41" s="204" t="s">
        <v>168</v>
      </c>
      <c r="E41" s="206" t="s">
        <v>115</v>
      </c>
      <c r="F41" s="201">
        <v>26614</v>
      </c>
      <c r="G41" s="202">
        <v>874</v>
      </c>
      <c r="H41" s="205">
        <v>8220</v>
      </c>
      <c r="I41" s="142">
        <f t="shared" si="25"/>
        <v>9366.82</v>
      </c>
      <c r="J41" s="203">
        <v>17520</v>
      </c>
      <c r="K41" s="144">
        <f t="shared" si="20"/>
        <v>18045.600000000002</v>
      </c>
      <c r="L41" s="145">
        <f t="shared" si="21"/>
        <v>8.4230769230769234</v>
      </c>
      <c r="M41" s="145">
        <f t="shared" si="21"/>
        <v>8.675769230769232</v>
      </c>
      <c r="N41" s="146">
        <v>696</v>
      </c>
      <c r="O41" s="146">
        <v>1384</v>
      </c>
      <c r="P41" s="147">
        <f t="shared" si="22"/>
        <v>5862.461538461539</v>
      </c>
      <c r="Q41" s="147">
        <f t="shared" si="22"/>
        <v>12007.264615384616</v>
      </c>
      <c r="R41" s="148">
        <f t="shared" si="26"/>
        <v>9366.82</v>
      </c>
      <c r="S41" s="148">
        <f t="shared" si="27"/>
        <v>0.34</v>
      </c>
      <c r="T41" s="149">
        <f t="shared" si="23"/>
        <v>17869.726153846153</v>
      </c>
      <c r="U41" s="150">
        <f t="shared" si="28"/>
        <v>0.66</v>
      </c>
      <c r="V41" s="151">
        <f t="shared" si="29"/>
        <v>27236.546153846153</v>
      </c>
      <c r="W41" s="147">
        <f t="shared" si="37"/>
        <v>2269.71</v>
      </c>
      <c r="X41" s="152">
        <f t="shared" si="30"/>
        <v>716.56173000000001</v>
      </c>
      <c r="Y41" s="152">
        <f t="shared" si="31"/>
        <v>966.65582399999994</v>
      </c>
      <c r="Z41" s="152">
        <f t="shared" si="32"/>
        <v>93.668199999999999</v>
      </c>
      <c r="AA41" s="152">
        <f t="shared" si="33"/>
        <v>93.668199999999999</v>
      </c>
      <c r="AB41" s="153">
        <f t="shared" si="34"/>
        <v>1465.52</v>
      </c>
      <c r="AC41" s="147">
        <f t="shared" si="35"/>
        <v>9.5</v>
      </c>
      <c r="AD41" s="154">
        <f t="shared" si="24"/>
        <v>3345.573954</v>
      </c>
      <c r="AE41" s="155">
        <f t="shared" si="36"/>
        <v>12712.393953999999</v>
      </c>
    </row>
    <row r="42" spans="1:31" ht="26.25" x14ac:dyDescent="0.25">
      <c r="A42" s="156" t="s">
        <v>174</v>
      </c>
      <c r="B42" s="156" t="s">
        <v>175</v>
      </c>
      <c r="C42" s="383" t="s">
        <v>304</v>
      </c>
      <c r="D42" s="204" t="s">
        <v>168</v>
      </c>
      <c r="E42" s="206" t="s">
        <v>176</v>
      </c>
      <c r="F42" s="201">
        <v>25105</v>
      </c>
      <c r="G42" s="202">
        <v>15</v>
      </c>
      <c r="H42" s="205">
        <v>11549</v>
      </c>
      <c r="I42" s="142">
        <f t="shared" si="25"/>
        <v>11910.92</v>
      </c>
      <c r="J42" s="203">
        <v>13541</v>
      </c>
      <c r="K42" s="144">
        <f t="shared" si="20"/>
        <v>13947.23</v>
      </c>
      <c r="L42" s="145">
        <f t="shared" si="21"/>
        <v>6.5100961538461535</v>
      </c>
      <c r="M42" s="145">
        <f t="shared" si="21"/>
        <v>6.7053990384615387</v>
      </c>
      <c r="N42" s="146">
        <v>696</v>
      </c>
      <c r="O42" s="146">
        <v>1384</v>
      </c>
      <c r="P42" s="147">
        <f t="shared" si="22"/>
        <v>4531.0269230769227</v>
      </c>
      <c r="Q42" s="147">
        <f t="shared" si="22"/>
        <v>9280.2722692307689</v>
      </c>
      <c r="R42" s="148">
        <f t="shared" si="26"/>
        <v>11910.92</v>
      </c>
      <c r="S42" s="148">
        <f t="shared" si="27"/>
        <v>0.46</v>
      </c>
      <c r="T42" s="149">
        <f t="shared" si="23"/>
        <v>13811.299192307692</v>
      </c>
      <c r="U42" s="150">
        <f t="shared" si="28"/>
        <v>0.54</v>
      </c>
      <c r="V42" s="151">
        <f t="shared" si="29"/>
        <v>25722.21919230769</v>
      </c>
      <c r="W42" s="147">
        <f t="shared" si="37"/>
        <v>2143.52</v>
      </c>
      <c r="X42" s="152">
        <f t="shared" si="30"/>
        <v>911.18538000000001</v>
      </c>
      <c r="Y42" s="152">
        <f t="shared" si="31"/>
        <v>1229.206944</v>
      </c>
      <c r="Z42" s="152">
        <f t="shared" si="32"/>
        <v>119.1092</v>
      </c>
      <c r="AA42" s="152">
        <f t="shared" si="33"/>
        <v>119.1092</v>
      </c>
      <c r="AB42" s="153">
        <f t="shared" si="34"/>
        <v>1975.59</v>
      </c>
      <c r="AC42" s="147">
        <f t="shared" si="35"/>
        <v>12.81</v>
      </c>
      <c r="AD42" s="154">
        <f t="shared" si="24"/>
        <v>4367.0107239999998</v>
      </c>
      <c r="AE42" s="155">
        <f t="shared" si="36"/>
        <v>16277.930724</v>
      </c>
    </row>
    <row r="43" spans="1:31" ht="15.75" thickBot="1" x14ac:dyDescent="0.3">
      <c r="A43" s="166"/>
      <c r="B43" s="166"/>
      <c r="C43" s="166"/>
      <c r="D43" s="167"/>
      <c r="E43" s="166"/>
      <c r="F43" s="168">
        <f t="shared" ref="F43:K43" si="38">SUM(F35:F42)</f>
        <v>272686</v>
      </c>
      <c r="G43" s="168">
        <f t="shared" si="38"/>
        <v>6651</v>
      </c>
      <c r="H43" s="168">
        <f t="shared" si="38"/>
        <v>60518</v>
      </c>
      <c r="I43" s="168">
        <f t="shared" si="38"/>
        <v>69184.070000000007</v>
      </c>
      <c r="J43" s="168">
        <f t="shared" si="38"/>
        <v>205517</v>
      </c>
      <c r="K43" s="168">
        <f t="shared" si="38"/>
        <v>211682.51</v>
      </c>
      <c r="L43" s="170"/>
      <c r="M43" s="171"/>
      <c r="N43" s="172"/>
      <c r="O43" s="172"/>
      <c r="P43" s="168">
        <f>SUM(P35:P42)</f>
        <v>68769.149999999994</v>
      </c>
      <c r="Q43" s="168">
        <f>SUM(Q35:Q42)</f>
        <v>140850.28550000003</v>
      </c>
      <c r="R43" s="382">
        <f>SUM(R35:R42)</f>
        <v>69184.070000000007</v>
      </c>
      <c r="S43" s="211"/>
      <c r="T43" s="174">
        <f>SUM(T35:T42)</f>
        <v>209619.43550000002</v>
      </c>
      <c r="U43" s="207"/>
      <c r="V43" s="208">
        <f t="shared" si="29"/>
        <v>278803.50550000003</v>
      </c>
      <c r="W43" s="186">
        <f t="shared" ref="W43:AE43" si="39">SUM(W35:W42)</f>
        <v>23233.629999999997</v>
      </c>
      <c r="X43" s="187">
        <f t="shared" si="39"/>
        <v>5292.5813550000003</v>
      </c>
      <c r="Y43" s="209">
        <f t="shared" si="39"/>
        <v>7139.7960239999993</v>
      </c>
      <c r="Z43" s="209">
        <f t="shared" si="39"/>
        <v>691.84069999999997</v>
      </c>
      <c r="AA43" s="209">
        <f t="shared" si="39"/>
        <v>691.84069999999997</v>
      </c>
      <c r="AB43" s="209">
        <f t="shared" si="39"/>
        <v>8093.6299999999992</v>
      </c>
      <c r="AC43" s="209">
        <f t="shared" si="39"/>
        <v>52.47</v>
      </c>
      <c r="AD43" s="188">
        <f t="shared" si="39"/>
        <v>21962.158778999998</v>
      </c>
      <c r="AE43" s="189">
        <f t="shared" si="39"/>
        <v>91146.228778999997</v>
      </c>
    </row>
    <row r="44" spans="1:31" ht="15.75" thickTop="1" x14ac:dyDescent="0.25">
      <c r="A44" s="177"/>
      <c r="B44" s="166"/>
      <c r="C44" s="166"/>
      <c r="D44" s="167"/>
      <c r="E44" s="166"/>
      <c r="F44" s="166"/>
      <c r="G44" s="166"/>
      <c r="H44" s="166"/>
      <c r="I44" s="166"/>
      <c r="J44" s="170"/>
      <c r="K44" s="170"/>
      <c r="L44" s="170"/>
      <c r="M44" s="170"/>
      <c r="N44" s="172"/>
      <c r="O44" s="172"/>
      <c r="P44" s="170"/>
      <c r="Q44" s="170"/>
      <c r="R44" s="170"/>
      <c r="S44" s="170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</row>
  </sheetData>
  <mergeCells count="11">
    <mergeCell ref="L33:M33"/>
    <mergeCell ref="X33:AA33"/>
    <mergeCell ref="AB33:AC33"/>
    <mergeCell ref="A1:AD1"/>
    <mergeCell ref="A2:AD2"/>
    <mergeCell ref="A3:AD3"/>
    <mergeCell ref="A4:AD4"/>
    <mergeCell ref="A5:AD5"/>
    <mergeCell ref="L7:M7"/>
    <mergeCell ref="X7:AA7"/>
    <mergeCell ref="AB7:AC7"/>
  </mergeCells>
  <pageMargins left="0" right="0" top="0.75" bottom="0.75" header="0.3" footer="0.3"/>
  <pageSetup paperSize="5" scale="67" fitToHeight="0" orientation="landscape" r:id="rId1"/>
  <rowBreaks count="1" manualBreakCount="1">
    <brk id="29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695325</xdr:colOff>
                <xdr:row>28</xdr:row>
                <xdr:rowOff>47625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050" r:id="rId6">
          <objectPr defaultSize="0" autoPict="0" r:id="rId7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5</xdr:col>
                <xdr:colOff>19050</xdr:colOff>
                <xdr:row>26</xdr:row>
                <xdr:rowOff>47625</xdr:rowOff>
              </to>
            </anchor>
          </objectPr>
        </oleObject>
      </mc:Choice>
      <mc:Fallback>
        <oleObject progId="Acrobat Document" dvAspect="DVASPECT_ICON" shapeId="2050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V124"/>
  <sheetViews>
    <sheetView tabSelected="1" view="pageBreakPreview" zoomScale="60" zoomScaleNormal="100" workbookViewId="0">
      <selection activeCell="G46" sqref="G46"/>
    </sheetView>
  </sheetViews>
  <sheetFormatPr defaultRowHeight="12.75" x14ac:dyDescent="0.2"/>
  <cols>
    <col min="1" max="1" width="6.5703125" style="215" customWidth="1"/>
    <col min="2" max="2" width="9.7109375" style="215" customWidth="1"/>
    <col min="3" max="3" width="17" style="215" customWidth="1"/>
    <col min="4" max="4" width="20.140625" style="215" customWidth="1"/>
    <col min="5" max="5" width="12.5703125" style="215" customWidth="1"/>
    <col min="6" max="7" width="11.5703125" style="216" customWidth="1"/>
    <col min="8" max="8" width="10.28515625" style="216" customWidth="1"/>
    <col min="9" max="9" width="9.85546875" style="216" customWidth="1"/>
    <col min="10" max="10" width="8.140625" style="216" customWidth="1"/>
    <col min="11" max="11" width="9.42578125" style="216" bestFit="1" customWidth="1"/>
    <col min="12" max="12" width="10.7109375" style="216" customWidth="1"/>
    <col min="13" max="13" width="10.7109375" style="215" customWidth="1"/>
    <col min="14" max="14" width="11.42578125" style="215" customWidth="1"/>
    <col min="15" max="15" width="10.7109375" style="215" customWidth="1"/>
    <col min="16" max="16" width="5.7109375" style="215" customWidth="1"/>
    <col min="17" max="17" width="10.7109375" style="215" customWidth="1"/>
    <col min="18" max="18" width="5.7109375" style="215" customWidth="1"/>
    <col min="19" max="19" width="11.42578125" style="215" customWidth="1"/>
    <col min="20" max="20" width="5.7109375" style="215" customWidth="1"/>
    <col min="21" max="21" width="10.140625" style="215" customWidth="1"/>
    <col min="22" max="22" width="11.5703125" style="215" bestFit="1" customWidth="1"/>
    <col min="23" max="255" width="9.140625" style="215"/>
    <col min="256" max="256" width="6.5703125" style="215" customWidth="1"/>
    <col min="257" max="257" width="9.7109375" style="215" customWidth="1"/>
    <col min="258" max="258" width="17" style="215" customWidth="1"/>
    <col min="259" max="259" width="20.140625" style="215" customWidth="1"/>
    <col min="260" max="260" width="12.5703125" style="215" customWidth="1"/>
    <col min="261" max="262" width="11.5703125" style="215" customWidth="1"/>
    <col min="263" max="263" width="10.28515625" style="215" customWidth="1"/>
    <col min="264" max="264" width="9.85546875" style="215" customWidth="1"/>
    <col min="265" max="265" width="8.140625" style="215" customWidth="1"/>
    <col min="266" max="266" width="9.42578125" style="215" bestFit="1" customWidth="1"/>
    <col min="267" max="268" width="10.7109375" style="215" customWidth="1"/>
    <col min="269" max="269" width="11.42578125" style="215" customWidth="1"/>
    <col min="270" max="270" width="10.7109375" style="215" customWidth="1"/>
    <col min="271" max="271" width="5.7109375" style="215" customWidth="1"/>
    <col min="272" max="272" width="10.7109375" style="215" customWidth="1"/>
    <col min="273" max="273" width="5.7109375" style="215" customWidth="1"/>
    <col min="274" max="274" width="11.42578125" style="215" customWidth="1"/>
    <col min="275" max="275" width="5.7109375" style="215" customWidth="1"/>
    <col min="276" max="276" width="10.140625" style="215" customWidth="1"/>
    <col min="277" max="277" width="11.5703125" style="215" bestFit="1" customWidth="1"/>
    <col min="278" max="511" width="9.140625" style="215"/>
    <col min="512" max="512" width="6.5703125" style="215" customWidth="1"/>
    <col min="513" max="513" width="9.7109375" style="215" customWidth="1"/>
    <col min="514" max="514" width="17" style="215" customWidth="1"/>
    <col min="515" max="515" width="20.140625" style="215" customWidth="1"/>
    <col min="516" max="516" width="12.5703125" style="215" customWidth="1"/>
    <col min="517" max="518" width="11.5703125" style="215" customWidth="1"/>
    <col min="519" max="519" width="10.28515625" style="215" customWidth="1"/>
    <col min="520" max="520" width="9.85546875" style="215" customWidth="1"/>
    <col min="521" max="521" width="8.140625" style="215" customWidth="1"/>
    <col min="522" max="522" width="9.42578125" style="215" bestFit="1" customWidth="1"/>
    <col min="523" max="524" width="10.7109375" style="215" customWidth="1"/>
    <col min="525" max="525" width="11.42578125" style="215" customWidth="1"/>
    <col min="526" max="526" width="10.7109375" style="215" customWidth="1"/>
    <col min="527" max="527" width="5.7109375" style="215" customWidth="1"/>
    <col min="528" max="528" width="10.7109375" style="215" customWidth="1"/>
    <col min="529" max="529" width="5.7109375" style="215" customWidth="1"/>
    <col min="530" max="530" width="11.42578125" style="215" customWidth="1"/>
    <col min="531" max="531" width="5.7109375" style="215" customWidth="1"/>
    <col min="532" max="532" width="10.140625" style="215" customWidth="1"/>
    <col min="533" max="533" width="11.5703125" style="215" bestFit="1" customWidth="1"/>
    <col min="534" max="767" width="9.140625" style="215"/>
    <col min="768" max="768" width="6.5703125" style="215" customWidth="1"/>
    <col min="769" max="769" width="9.7109375" style="215" customWidth="1"/>
    <col min="770" max="770" width="17" style="215" customWidth="1"/>
    <col min="771" max="771" width="20.140625" style="215" customWidth="1"/>
    <col min="772" max="772" width="12.5703125" style="215" customWidth="1"/>
    <col min="773" max="774" width="11.5703125" style="215" customWidth="1"/>
    <col min="775" max="775" width="10.28515625" style="215" customWidth="1"/>
    <col min="776" max="776" width="9.85546875" style="215" customWidth="1"/>
    <col min="777" max="777" width="8.140625" style="215" customWidth="1"/>
    <col min="778" max="778" width="9.42578125" style="215" bestFit="1" customWidth="1"/>
    <col min="779" max="780" width="10.7109375" style="215" customWidth="1"/>
    <col min="781" max="781" width="11.42578125" style="215" customWidth="1"/>
    <col min="782" max="782" width="10.7109375" style="215" customWidth="1"/>
    <col min="783" max="783" width="5.7109375" style="215" customWidth="1"/>
    <col min="784" max="784" width="10.7109375" style="215" customWidth="1"/>
    <col min="785" max="785" width="5.7109375" style="215" customWidth="1"/>
    <col min="786" max="786" width="11.42578125" style="215" customWidth="1"/>
    <col min="787" max="787" width="5.7109375" style="215" customWidth="1"/>
    <col min="788" max="788" width="10.140625" style="215" customWidth="1"/>
    <col min="789" max="789" width="11.5703125" style="215" bestFit="1" customWidth="1"/>
    <col min="790" max="1023" width="9.140625" style="215"/>
    <col min="1024" max="1024" width="6.5703125" style="215" customWidth="1"/>
    <col min="1025" max="1025" width="9.7109375" style="215" customWidth="1"/>
    <col min="1026" max="1026" width="17" style="215" customWidth="1"/>
    <col min="1027" max="1027" width="20.140625" style="215" customWidth="1"/>
    <col min="1028" max="1028" width="12.5703125" style="215" customWidth="1"/>
    <col min="1029" max="1030" width="11.5703125" style="215" customWidth="1"/>
    <col min="1031" max="1031" width="10.28515625" style="215" customWidth="1"/>
    <col min="1032" max="1032" width="9.85546875" style="215" customWidth="1"/>
    <col min="1033" max="1033" width="8.140625" style="215" customWidth="1"/>
    <col min="1034" max="1034" width="9.42578125" style="215" bestFit="1" customWidth="1"/>
    <col min="1035" max="1036" width="10.7109375" style="215" customWidth="1"/>
    <col min="1037" max="1037" width="11.42578125" style="215" customWidth="1"/>
    <col min="1038" max="1038" width="10.7109375" style="215" customWidth="1"/>
    <col min="1039" max="1039" width="5.7109375" style="215" customWidth="1"/>
    <col min="1040" max="1040" width="10.7109375" style="215" customWidth="1"/>
    <col min="1041" max="1041" width="5.7109375" style="215" customWidth="1"/>
    <col min="1042" max="1042" width="11.42578125" style="215" customWidth="1"/>
    <col min="1043" max="1043" width="5.7109375" style="215" customWidth="1"/>
    <col min="1044" max="1044" width="10.140625" style="215" customWidth="1"/>
    <col min="1045" max="1045" width="11.5703125" style="215" bestFit="1" customWidth="1"/>
    <col min="1046" max="1279" width="9.140625" style="215"/>
    <col min="1280" max="1280" width="6.5703125" style="215" customWidth="1"/>
    <col min="1281" max="1281" width="9.7109375" style="215" customWidth="1"/>
    <col min="1282" max="1282" width="17" style="215" customWidth="1"/>
    <col min="1283" max="1283" width="20.140625" style="215" customWidth="1"/>
    <col min="1284" max="1284" width="12.5703125" style="215" customWidth="1"/>
    <col min="1285" max="1286" width="11.5703125" style="215" customWidth="1"/>
    <col min="1287" max="1287" width="10.28515625" style="215" customWidth="1"/>
    <col min="1288" max="1288" width="9.85546875" style="215" customWidth="1"/>
    <col min="1289" max="1289" width="8.140625" style="215" customWidth="1"/>
    <col min="1290" max="1290" width="9.42578125" style="215" bestFit="1" customWidth="1"/>
    <col min="1291" max="1292" width="10.7109375" style="215" customWidth="1"/>
    <col min="1293" max="1293" width="11.42578125" style="215" customWidth="1"/>
    <col min="1294" max="1294" width="10.7109375" style="215" customWidth="1"/>
    <col min="1295" max="1295" width="5.7109375" style="215" customWidth="1"/>
    <col min="1296" max="1296" width="10.7109375" style="215" customWidth="1"/>
    <col min="1297" max="1297" width="5.7109375" style="215" customWidth="1"/>
    <col min="1298" max="1298" width="11.42578125" style="215" customWidth="1"/>
    <col min="1299" max="1299" width="5.7109375" style="215" customWidth="1"/>
    <col min="1300" max="1300" width="10.140625" style="215" customWidth="1"/>
    <col min="1301" max="1301" width="11.5703125" style="215" bestFit="1" customWidth="1"/>
    <col min="1302" max="1535" width="9.140625" style="215"/>
    <col min="1536" max="1536" width="6.5703125" style="215" customWidth="1"/>
    <col min="1537" max="1537" width="9.7109375" style="215" customWidth="1"/>
    <col min="1538" max="1538" width="17" style="215" customWidth="1"/>
    <col min="1539" max="1539" width="20.140625" style="215" customWidth="1"/>
    <col min="1540" max="1540" width="12.5703125" style="215" customWidth="1"/>
    <col min="1541" max="1542" width="11.5703125" style="215" customWidth="1"/>
    <col min="1543" max="1543" width="10.28515625" style="215" customWidth="1"/>
    <col min="1544" max="1544" width="9.85546875" style="215" customWidth="1"/>
    <col min="1545" max="1545" width="8.140625" style="215" customWidth="1"/>
    <col min="1546" max="1546" width="9.42578125" style="215" bestFit="1" customWidth="1"/>
    <col min="1547" max="1548" width="10.7109375" style="215" customWidth="1"/>
    <col min="1549" max="1549" width="11.42578125" style="215" customWidth="1"/>
    <col min="1550" max="1550" width="10.7109375" style="215" customWidth="1"/>
    <col min="1551" max="1551" width="5.7109375" style="215" customWidth="1"/>
    <col min="1552" max="1552" width="10.7109375" style="215" customWidth="1"/>
    <col min="1553" max="1553" width="5.7109375" style="215" customWidth="1"/>
    <col min="1554" max="1554" width="11.42578125" style="215" customWidth="1"/>
    <col min="1555" max="1555" width="5.7109375" style="215" customWidth="1"/>
    <col min="1556" max="1556" width="10.140625" style="215" customWidth="1"/>
    <col min="1557" max="1557" width="11.5703125" style="215" bestFit="1" customWidth="1"/>
    <col min="1558" max="1791" width="9.140625" style="215"/>
    <col min="1792" max="1792" width="6.5703125" style="215" customWidth="1"/>
    <col min="1793" max="1793" width="9.7109375" style="215" customWidth="1"/>
    <col min="1794" max="1794" width="17" style="215" customWidth="1"/>
    <col min="1795" max="1795" width="20.140625" style="215" customWidth="1"/>
    <col min="1796" max="1796" width="12.5703125" style="215" customWidth="1"/>
    <col min="1797" max="1798" width="11.5703125" style="215" customWidth="1"/>
    <col min="1799" max="1799" width="10.28515625" style="215" customWidth="1"/>
    <col min="1800" max="1800" width="9.85546875" style="215" customWidth="1"/>
    <col min="1801" max="1801" width="8.140625" style="215" customWidth="1"/>
    <col min="1802" max="1802" width="9.42578125" style="215" bestFit="1" customWidth="1"/>
    <col min="1803" max="1804" width="10.7109375" style="215" customWidth="1"/>
    <col min="1805" max="1805" width="11.42578125" style="215" customWidth="1"/>
    <col min="1806" max="1806" width="10.7109375" style="215" customWidth="1"/>
    <col min="1807" max="1807" width="5.7109375" style="215" customWidth="1"/>
    <col min="1808" max="1808" width="10.7109375" style="215" customWidth="1"/>
    <col min="1809" max="1809" width="5.7109375" style="215" customWidth="1"/>
    <col min="1810" max="1810" width="11.42578125" style="215" customWidth="1"/>
    <col min="1811" max="1811" width="5.7109375" style="215" customWidth="1"/>
    <col min="1812" max="1812" width="10.140625" style="215" customWidth="1"/>
    <col min="1813" max="1813" width="11.5703125" style="215" bestFit="1" customWidth="1"/>
    <col min="1814" max="2047" width="9.140625" style="215"/>
    <col min="2048" max="2048" width="6.5703125" style="215" customWidth="1"/>
    <col min="2049" max="2049" width="9.7109375" style="215" customWidth="1"/>
    <col min="2050" max="2050" width="17" style="215" customWidth="1"/>
    <col min="2051" max="2051" width="20.140625" style="215" customWidth="1"/>
    <col min="2052" max="2052" width="12.5703125" style="215" customWidth="1"/>
    <col min="2053" max="2054" width="11.5703125" style="215" customWidth="1"/>
    <col min="2055" max="2055" width="10.28515625" style="215" customWidth="1"/>
    <col min="2056" max="2056" width="9.85546875" style="215" customWidth="1"/>
    <col min="2057" max="2057" width="8.140625" style="215" customWidth="1"/>
    <col min="2058" max="2058" width="9.42578125" style="215" bestFit="1" customWidth="1"/>
    <col min="2059" max="2060" width="10.7109375" style="215" customWidth="1"/>
    <col min="2061" max="2061" width="11.42578125" style="215" customWidth="1"/>
    <col min="2062" max="2062" width="10.7109375" style="215" customWidth="1"/>
    <col min="2063" max="2063" width="5.7109375" style="215" customWidth="1"/>
    <col min="2064" max="2064" width="10.7109375" style="215" customWidth="1"/>
    <col min="2065" max="2065" width="5.7109375" style="215" customWidth="1"/>
    <col min="2066" max="2066" width="11.42578125" style="215" customWidth="1"/>
    <col min="2067" max="2067" width="5.7109375" style="215" customWidth="1"/>
    <col min="2068" max="2068" width="10.140625" style="215" customWidth="1"/>
    <col min="2069" max="2069" width="11.5703125" style="215" bestFit="1" customWidth="1"/>
    <col min="2070" max="2303" width="9.140625" style="215"/>
    <col min="2304" max="2304" width="6.5703125" style="215" customWidth="1"/>
    <col min="2305" max="2305" width="9.7109375" style="215" customWidth="1"/>
    <col min="2306" max="2306" width="17" style="215" customWidth="1"/>
    <col min="2307" max="2307" width="20.140625" style="215" customWidth="1"/>
    <col min="2308" max="2308" width="12.5703125" style="215" customWidth="1"/>
    <col min="2309" max="2310" width="11.5703125" style="215" customWidth="1"/>
    <col min="2311" max="2311" width="10.28515625" style="215" customWidth="1"/>
    <col min="2312" max="2312" width="9.85546875" style="215" customWidth="1"/>
    <col min="2313" max="2313" width="8.140625" style="215" customWidth="1"/>
    <col min="2314" max="2314" width="9.42578125" style="215" bestFit="1" customWidth="1"/>
    <col min="2315" max="2316" width="10.7109375" style="215" customWidth="1"/>
    <col min="2317" max="2317" width="11.42578125" style="215" customWidth="1"/>
    <col min="2318" max="2318" width="10.7109375" style="215" customWidth="1"/>
    <col min="2319" max="2319" width="5.7109375" style="215" customWidth="1"/>
    <col min="2320" max="2320" width="10.7109375" style="215" customWidth="1"/>
    <col min="2321" max="2321" width="5.7109375" style="215" customWidth="1"/>
    <col min="2322" max="2322" width="11.42578125" style="215" customWidth="1"/>
    <col min="2323" max="2323" width="5.7109375" style="215" customWidth="1"/>
    <col min="2324" max="2324" width="10.140625" style="215" customWidth="1"/>
    <col min="2325" max="2325" width="11.5703125" style="215" bestFit="1" customWidth="1"/>
    <col min="2326" max="2559" width="9.140625" style="215"/>
    <col min="2560" max="2560" width="6.5703125" style="215" customWidth="1"/>
    <col min="2561" max="2561" width="9.7109375" style="215" customWidth="1"/>
    <col min="2562" max="2562" width="17" style="215" customWidth="1"/>
    <col min="2563" max="2563" width="20.140625" style="215" customWidth="1"/>
    <col min="2564" max="2564" width="12.5703125" style="215" customWidth="1"/>
    <col min="2565" max="2566" width="11.5703125" style="215" customWidth="1"/>
    <col min="2567" max="2567" width="10.28515625" style="215" customWidth="1"/>
    <col min="2568" max="2568" width="9.85546875" style="215" customWidth="1"/>
    <col min="2569" max="2569" width="8.140625" style="215" customWidth="1"/>
    <col min="2570" max="2570" width="9.42578125" style="215" bestFit="1" customWidth="1"/>
    <col min="2571" max="2572" width="10.7109375" style="215" customWidth="1"/>
    <col min="2573" max="2573" width="11.42578125" style="215" customWidth="1"/>
    <col min="2574" max="2574" width="10.7109375" style="215" customWidth="1"/>
    <col min="2575" max="2575" width="5.7109375" style="215" customWidth="1"/>
    <col min="2576" max="2576" width="10.7109375" style="215" customWidth="1"/>
    <col min="2577" max="2577" width="5.7109375" style="215" customWidth="1"/>
    <col min="2578" max="2578" width="11.42578125" style="215" customWidth="1"/>
    <col min="2579" max="2579" width="5.7109375" style="215" customWidth="1"/>
    <col min="2580" max="2580" width="10.140625" style="215" customWidth="1"/>
    <col min="2581" max="2581" width="11.5703125" style="215" bestFit="1" customWidth="1"/>
    <col min="2582" max="2815" width="9.140625" style="215"/>
    <col min="2816" max="2816" width="6.5703125" style="215" customWidth="1"/>
    <col min="2817" max="2817" width="9.7109375" style="215" customWidth="1"/>
    <col min="2818" max="2818" width="17" style="215" customWidth="1"/>
    <col min="2819" max="2819" width="20.140625" style="215" customWidth="1"/>
    <col min="2820" max="2820" width="12.5703125" style="215" customWidth="1"/>
    <col min="2821" max="2822" width="11.5703125" style="215" customWidth="1"/>
    <col min="2823" max="2823" width="10.28515625" style="215" customWidth="1"/>
    <col min="2824" max="2824" width="9.85546875" style="215" customWidth="1"/>
    <col min="2825" max="2825" width="8.140625" style="215" customWidth="1"/>
    <col min="2826" max="2826" width="9.42578125" style="215" bestFit="1" customWidth="1"/>
    <col min="2827" max="2828" width="10.7109375" style="215" customWidth="1"/>
    <col min="2829" max="2829" width="11.42578125" style="215" customWidth="1"/>
    <col min="2830" max="2830" width="10.7109375" style="215" customWidth="1"/>
    <col min="2831" max="2831" width="5.7109375" style="215" customWidth="1"/>
    <col min="2832" max="2832" width="10.7109375" style="215" customWidth="1"/>
    <col min="2833" max="2833" width="5.7109375" style="215" customWidth="1"/>
    <col min="2834" max="2834" width="11.42578125" style="215" customWidth="1"/>
    <col min="2835" max="2835" width="5.7109375" style="215" customWidth="1"/>
    <col min="2836" max="2836" width="10.140625" style="215" customWidth="1"/>
    <col min="2837" max="2837" width="11.5703125" style="215" bestFit="1" customWidth="1"/>
    <col min="2838" max="3071" width="9.140625" style="215"/>
    <col min="3072" max="3072" width="6.5703125" style="215" customWidth="1"/>
    <col min="3073" max="3073" width="9.7109375" style="215" customWidth="1"/>
    <col min="3074" max="3074" width="17" style="215" customWidth="1"/>
    <col min="3075" max="3075" width="20.140625" style="215" customWidth="1"/>
    <col min="3076" max="3076" width="12.5703125" style="215" customWidth="1"/>
    <col min="3077" max="3078" width="11.5703125" style="215" customWidth="1"/>
    <col min="3079" max="3079" width="10.28515625" style="215" customWidth="1"/>
    <col min="3080" max="3080" width="9.85546875" style="215" customWidth="1"/>
    <col min="3081" max="3081" width="8.140625" style="215" customWidth="1"/>
    <col min="3082" max="3082" width="9.42578125" style="215" bestFit="1" customWidth="1"/>
    <col min="3083" max="3084" width="10.7109375" style="215" customWidth="1"/>
    <col min="3085" max="3085" width="11.42578125" style="215" customWidth="1"/>
    <col min="3086" max="3086" width="10.7109375" style="215" customWidth="1"/>
    <col min="3087" max="3087" width="5.7109375" style="215" customWidth="1"/>
    <col min="3088" max="3088" width="10.7109375" style="215" customWidth="1"/>
    <col min="3089" max="3089" width="5.7109375" style="215" customWidth="1"/>
    <col min="3090" max="3090" width="11.42578125" style="215" customWidth="1"/>
    <col min="3091" max="3091" width="5.7109375" style="215" customWidth="1"/>
    <col min="3092" max="3092" width="10.140625" style="215" customWidth="1"/>
    <col min="3093" max="3093" width="11.5703125" style="215" bestFit="1" customWidth="1"/>
    <col min="3094" max="3327" width="9.140625" style="215"/>
    <col min="3328" max="3328" width="6.5703125" style="215" customWidth="1"/>
    <col min="3329" max="3329" width="9.7109375" style="215" customWidth="1"/>
    <col min="3330" max="3330" width="17" style="215" customWidth="1"/>
    <col min="3331" max="3331" width="20.140625" style="215" customWidth="1"/>
    <col min="3332" max="3332" width="12.5703125" style="215" customWidth="1"/>
    <col min="3333" max="3334" width="11.5703125" style="215" customWidth="1"/>
    <col min="3335" max="3335" width="10.28515625" style="215" customWidth="1"/>
    <col min="3336" max="3336" width="9.85546875" style="215" customWidth="1"/>
    <col min="3337" max="3337" width="8.140625" style="215" customWidth="1"/>
    <col min="3338" max="3338" width="9.42578125" style="215" bestFit="1" customWidth="1"/>
    <col min="3339" max="3340" width="10.7109375" style="215" customWidth="1"/>
    <col min="3341" max="3341" width="11.42578125" style="215" customWidth="1"/>
    <col min="3342" max="3342" width="10.7109375" style="215" customWidth="1"/>
    <col min="3343" max="3343" width="5.7109375" style="215" customWidth="1"/>
    <col min="3344" max="3344" width="10.7109375" style="215" customWidth="1"/>
    <col min="3345" max="3345" width="5.7109375" style="215" customWidth="1"/>
    <col min="3346" max="3346" width="11.42578125" style="215" customWidth="1"/>
    <col min="3347" max="3347" width="5.7109375" style="215" customWidth="1"/>
    <col min="3348" max="3348" width="10.140625" style="215" customWidth="1"/>
    <col min="3349" max="3349" width="11.5703125" style="215" bestFit="1" customWidth="1"/>
    <col min="3350" max="3583" width="9.140625" style="215"/>
    <col min="3584" max="3584" width="6.5703125" style="215" customWidth="1"/>
    <col min="3585" max="3585" width="9.7109375" style="215" customWidth="1"/>
    <col min="3586" max="3586" width="17" style="215" customWidth="1"/>
    <col min="3587" max="3587" width="20.140625" style="215" customWidth="1"/>
    <col min="3588" max="3588" width="12.5703125" style="215" customWidth="1"/>
    <col min="3589" max="3590" width="11.5703125" style="215" customWidth="1"/>
    <col min="3591" max="3591" width="10.28515625" style="215" customWidth="1"/>
    <col min="3592" max="3592" width="9.85546875" style="215" customWidth="1"/>
    <col min="3593" max="3593" width="8.140625" style="215" customWidth="1"/>
    <col min="3594" max="3594" width="9.42578125" style="215" bestFit="1" customWidth="1"/>
    <col min="3595" max="3596" width="10.7109375" style="215" customWidth="1"/>
    <col min="3597" max="3597" width="11.42578125" style="215" customWidth="1"/>
    <col min="3598" max="3598" width="10.7109375" style="215" customWidth="1"/>
    <col min="3599" max="3599" width="5.7109375" style="215" customWidth="1"/>
    <col min="3600" max="3600" width="10.7109375" style="215" customWidth="1"/>
    <col min="3601" max="3601" width="5.7109375" style="215" customWidth="1"/>
    <col min="3602" max="3602" width="11.42578125" style="215" customWidth="1"/>
    <col min="3603" max="3603" width="5.7109375" style="215" customWidth="1"/>
    <col min="3604" max="3604" width="10.140625" style="215" customWidth="1"/>
    <col min="3605" max="3605" width="11.5703125" style="215" bestFit="1" customWidth="1"/>
    <col min="3606" max="3839" width="9.140625" style="215"/>
    <col min="3840" max="3840" width="6.5703125" style="215" customWidth="1"/>
    <col min="3841" max="3841" width="9.7109375" style="215" customWidth="1"/>
    <col min="3842" max="3842" width="17" style="215" customWidth="1"/>
    <col min="3843" max="3843" width="20.140625" style="215" customWidth="1"/>
    <col min="3844" max="3844" width="12.5703125" style="215" customWidth="1"/>
    <col min="3845" max="3846" width="11.5703125" style="215" customWidth="1"/>
    <col min="3847" max="3847" width="10.28515625" style="215" customWidth="1"/>
    <col min="3848" max="3848" width="9.85546875" style="215" customWidth="1"/>
    <col min="3849" max="3849" width="8.140625" style="215" customWidth="1"/>
    <col min="3850" max="3850" width="9.42578125" style="215" bestFit="1" customWidth="1"/>
    <col min="3851" max="3852" width="10.7109375" style="215" customWidth="1"/>
    <col min="3853" max="3853" width="11.42578125" style="215" customWidth="1"/>
    <col min="3854" max="3854" width="10.7109375" style="215" customWidth="1"/>
    <col min="3855" max="3855" width="5.7109375" style="215" customWidth="1"/>
    <col min="3856" max="3856" width="10.7109375" style="215" customWidth="1"/>
    <col min="3857" max="3857" width="5.7109375" style="215" customWidth="1"/>
    <col min="3858" max="3858" width="11.42578125" style="215" customWidth="1"/>
    <col min="3859" max="3859" width="5.7109375" style="215" customWidth="1"/>
    <col min="3860" max="3860" width="10.140625" style="215" customWidth="1"/>
    <col min="3861" max="3861" width="11.5703125" style="215" bestFit="1" customWidth="1"/>
    <col min="3862" max="4095" width="9.140625" style="215"/>
    <col min="4096" max="4096" width="6.5703125" style="215" customWidth="1"/>
    <col min="4097" max="4097" width="9.7109375" style="215" customWidth="1"/>
    <col min="4098" max="4098" width="17" style="215" customWidth="1"/>
    <col min="4099" max="4099" width="20.140625" style="215" customWidth="1"/>
    <col min="4100" max="4100" width="12.5703125" style="215" customWidth="1"/>
    <col min="4101" max="4102" width="11.5703125" style="215" customWidth="1"/>
    <col min="4103" max="4103" width="10.28515625" style="215" customWidth="1"/>
    <col min="4104" max="4104" width="9.85546875" style="215" customWidth="1"/>
    <col min="4105" max="4105" width="8.140625" style="215" customWidth="1"/>
    <col min="4106" max="4106" width="9.42578125" style="215" bestFit="1" customWidth="1"/>
    <col min="4107" max="4108" width="10.7109375" style="215" customWidth="1"/>
    <col min="4109" max="4109" width="11.42578125" style="215" customWidth="1"/>
    <col min="4110" max="4110" width="10.7109375" style="215" customWidth="1"/>
    <col min="4111" max="4111" width="5.7109375" style="215" customWidth="1"/>
    <col min="4112" max="4112" width="10.7109375" style="215" customWidth="1"/>
    <col min="4113" max="4113" width="5.7109375" style="215" customWidth="1"/>
    <col min="4114" max="4114" width="11.42578125" style="215" customWidth="1"/>
    <col min="4115" max="4115" width="5.7109375" style="215" customWidth="1"/>
    <col min="4116" max="4116" width="10.140625" style="215" customWidth="1"/>
    <col min="4117" max="4117" width="11.5703125" style="215" bestFit="1" customWidth="1"/>
    <col min="4118" max="4351" width="9.140625" style="215"/>
    <col min="4352" max="4352" width="6.5703125" style="215" customWidth="1"/>
    <col min="4353" max="4353" width="9.7109375" style="215" customWidth="1"/>
    <col min="4354" max="4354" width="17" style="215" customWidth="1"/>
    <col min="4355" max="4355" width="20.140625" style="215" customWidth="1"/>
    <col min="4356" max="4356" width="12.5703125" style="215" customWidth="1"/>
    <col min="4357" max="4358" width="11.5703125" style="215" customWidth="1"/>
    <col min="4359" max="4359" width="10.28515625" style="215" customWidth="1"/>
    <col min="4360" max="4360" width="9.85546875" style="215" customWidth="1"/>
    <col min="4361" max="4361" width="8.140625" style="215" customWidth="1"/>
    <col min="4362" max="4362" width="9.42578125" style="215" bestFit="1" customWidth="1"/>
    <col min="4363" max="4364" width="10.7109375" style="215" customWidth="1"/>
    <col min="4365" max="4365" width="11.42578125" style="215" customWidth="1"/>
    <col min="4366" max="4366" width="10.7109375" style="215" customWidth="1"/>
    <col min="4367" max="4367" width="5.7109375" style="215" customWidth="1"/>
    <col min="4368" max="4368" width="10.7109375" style="215" customWidth="1"/>
    <col min="4369" max="4369" width="5.7109375" style="215" customWidth="1"/>
    <col min="4370" max="4370" width="11.42578125" style="215" customWidth="1"/>
    <col min="4371" max="4371" width="5.7109375" style="215" customWidth="1"/>
    <col min="4372" max="4372" width="10.140625" style="215" customWidth="1"/>
    <col min="4373" max="4373" width="11.5703125" style="215" bestFit="1" customWidth="1"/>
    <col min="4374" max="4607" width="9.140625" style="215"/>
    <col min="4608" max="4608" width="6.5703125" style="215" customWidth="1"/>
    <col min="4609" max="4609" width="9.7109375" style="215" customWidth="1"/>
    <col min="4610" max="4610" width="17" style="215" customWidth="1"/>
    <col min="4611" max="4611" width="20.140625" style="215" customWidth="1"/>
    <col min="4612" max="4612" width="12.5703125" style="215" customWidth="1"/>
    <col min="4613" max="4614" width="11.5703125" style="215" customWidth="1"/>
    <col min="4615" max="4615" width="10.28515625" style="215" customWidth="1"/>
    <col min="4616" max="4616" width="9.85546875" style="215" customWidth="1"/>
    <col min="4617" max="4617" width="8.140625" style="215" customWidth="1"/>
    <col min="4618" max="4618" width="9.42578125" style="215" bestFit="1" customWidth="1"/>
    <col min="4619" max="4620" width="10.7109375" style="215" customWidth="1"/>
    <col min="4621" max="4621" width="11.42578125" style="215" customWidth="1"/>
    <col min="4622" max="4622" width="10.7109375" style="215" customWidth="1"/>
    <col min="4623" max="4623" width="5.7109375" style="215" customWidth="1"/>
    <col min="4624" max="4624" width="10.7109375" style="215" customWidth="1"/>
    <col min="4625" max="4625" width="5.7109375" style="215" customWidth="1"/>
    <col min="4626" max="4626" width="11.42578125" style="215" customWidth="1"/>
    <col min="4627" max="4627" width="5.7109375" style="215" customWidth="1"/>
    <col min="4628" max="4628" width="10.140625" style="215" customWidth="1"/>
    <col min="4629" max="4629" width="11.5703125" style="215" bestFit="1" customWidth="1"/>
    <col min="4630" max="4863" width="9.140625" style="215"/>
    <col min="4864" max="4864" width="6.5703125" style="215" customWidth="1"/>
    <col min="4865" max="4865" width="9.7109375" style="215" customWidth="1"/>
    <col min="4866" max="4866" width="17" style="215" customWidth="1"/>
    <col min="4867" max="4867" width="20.140625" style="215" customWidth="1"/>
    <col min="4868" max="4868" width="12.5703125" style="215" customWidth="1"/>
    <col min="4869" max="4870" width="11.5703125" style="215" customWidth="1"/>
    <col min="4871" max="4871" width="10.28515625" style="215" customWidth="1"/>
    <col min="4872" max="4872" width="9.85546875" style="215" customWidth="1"/>
    <col min="4873" max="4873" width="8.140625" style="215" customWidth="1"/>
    <col min="4874" max="4874" width="9.42578125" style="215" bestFit="1" customWidth="1"/>
    <col min="4875" max="4876" width="10.7109375" style="215" customWidth="1"/>
    <col min="4877" max="4877" width="11.42578125" style="215" customWidth="1"/>
    <col min="4878" max="4878" width="10.7109375" style="215" customWidth="1"/>
    <col min="4879" max="4879" width="5.7109375" style="215" customWidth="1"/>
    <col min="4880" max="4880" width="10.7109375" style="215" customWidth="1"/>
    <col min="4881" max="4881" width="5.7109375" style="215" customWidth="1"/>
    <col min="4882" max="4882" width="11.42578125" style="215" customWidth="1"/>
    <col min="4883" max="4883" width="5.7109375" style="215" customWidth="1"/>
    <col min="4884" max="4884" width="10.140625" style="215" customWidth="1"/>
    <col min="4885" max="4885" width="11.5703125" style="215" bestFit="1" customWidth="1"/>
    <col min="4886" max="5119" width="9.140625" style="215"/>
    <col min="5120" max="5120" width="6.5703125" style="215" customWidth="1"/>
    <col min="5121" max="5121" width="9.7109375" style="215" customWidth="1"/>
    <col min="5122" max="5122" width="17" style="215" customWidth="1"/>
    <col min="5123" max="5123" width="20.140625" style="215" customWidth="1"/>
    <col min="5124" max="5124" width="12.5703125" style="215" customWidth="1"/>
    <col min="5125" max="5126" width="11.5703125" style="215" customWidth="1"/>
    <col min="5127" max="5127" width="10.28515625" style="215" customWidth="1"/>
    <col min="5128" max="5128" width="9.85546875" style="215" customWidth="1"/>
    <col min="5129" max="5129" width="8.140625" style="215" customWidth="1"/>
    <col min="5130" max="5130" width="9.42578125" style="215" bestFit="1" customWidth="1"/>
    <col min="5131" max="5132" width="10.7109375" style="215" customWidth="1"/>
    <col min="5133" max="5133" width="11.42578125" style="215" customWidth="1"/>
    <col min="5134" max="5134" width="10.7109375" style="215" customWidth="1"/>
    <col min="5135" max="5135" width="5.7109375" style="215" customWidth="1"/>
    <col min="5136" max="5136" width="10.7109375" style="215" customWidth="1"/>
    <col min="5137" max="5137" width="5.7109375" style="215" customWidth="1"/>
    <col min="5138" max="5138" width="11.42578125" style="215" customWidth="1"/>
    <col min="5139" max="5139" width="5.7109375" style="215" customWidth="1"/>
    <col min="5140" max="5140" width="10.140625" style="215" customWidth="1"/>
    <col min="5141" max="5141" width="11.5703125" style="215" bestFit="1" customWidth="1"/>
    <col min="5142" max="5375" width="9.140625" style="215"/>
    <col min="5376" max="5376" width="6.5703125" style="215" customWidth="1"/>
    <col min="5377" max="5377" width="9.7109375" style="215" customWidth="1"/>
    <col min="5378" max="5378" width="17" style="215" customWidth="1"/>
    <col min="5379" max="5379" width="20.140625" style="215" customWidth="1"/>
    <col min="5380" max="5380" width="12.5703125" style="215" customWidth="1"/>
    <col min="5381" max="5382" width="11.5703125" style="215" customWidth="1"/>
    <col min="5383" max="5383" width="10.28515625" style="215" customWidth="1"/>
    <col min="5384" max="5384" width="9.85546875" style="215" customWidth="1"/>
    <col min="5385" max="5385" width="8.140625" style="215" customWidth="1"/>
    <col min="5386" max="5386" width="9.42578125" style="215" bestFit="1" customWidth="1"/>
    <col min="5387" max="5388" width="10.7109375" style="215" customWidth="1"/>
    <col min="5389" max="5389" width="11.42578125" style="215" customWidth="1"/>
    <col min="5390" max="5390" width="10.7109375" style="215" customWidth="1"/>
    <col min="5391" max="5391" width="5.7109375" style="215" customWidth="1"/>
    <col min="5392" max="5392" width="10.7109375" style="215" customWidth="1"/>
    <col min="5393" max="5393" width="5.7109375" style="215" customWidth="1"/>
    <col min="5394" max="5394" width="11.42578125" style="215" customWidth="1"/>
    <col min="5395" max="5395" width="5.7109375" style="215" customWidth="1"/>
    <col min="5396" max="5396" width="10.140625" style="215" customWidth="1"/>
    <col min="5397" max="5397" width="11.5703125" style="215" bestFit="1" customWidth="1"/>
    <col min="5398" max="5631" width="9.140625" style="215"/>
    <col min="5632" max="5632" width="6.5703125" style="215" customWidth="1"/>
    <col min="5633" max="5633" width="9.7109375" style="215" customWidth="1"/>
    <col min="5634" max="5634" width="17" style="215" customWidth="1"/>
    <col min="5635" max="5635" width="20.140625" style="215" customWidth="1"/>
    <col min="5636" max="5636" width="12.5703125" style="215" customWidth="1"/>
    <col min="5637" max="5638" width="11.5703125" style="215" customWidth="1"/>
    <col min="5639" max="5639" width="10.28515625" style="215" customWidth="1"/>
    <col min="5640" max="5640" width="9.85546875" style="215" customWidth="1"/>
    <col min="5641" max="5641" width="8.140625" style="215" customWidth="1"/>
    <col min="5642" max="5642" width="9.42578125" style="215" bestFit="1" customWidth="1"/>
    <col min="5643" max="5644" width="10.7109375" style="215" customWidth="1"/>
    <col min="5645" max="5645" width="11.42578125" style="215" customWidth="1"/>
    <col min="5646" max="5646" width="10.7109375" style="215" customWidth="1"/>
    <col min="5647" max="5647" width="5.7109375" style="215" customWidth="1"/>
    <col min="5648" max="5648" width="10.7109375" style="215" customWidth="1"/>
    <col min="5649" max="5649" width="5.7109375" style="215" customWidth="1"/>
    <col min="5650" max="5650" width="11.42578125" style="215" customWidth="1"/>
    <col min="5651" max="5651" width="5.7109375" style="215" customWidth="1"/>
    <col min="5652" max="5652" width="10.140625" style="215" customWidth="1"/>
    <col min="5653" max="5653" width="11.5703125" style="215" bestFit="1" customWidth="1"/>
    <col min="5654" max="5887" width="9.140625" style="215"/>
    <col min="5888" max="5888" width="6.5703125" style="215" customWidth="1"/>
    <col min="5889" max="5889" width="9.7109375" style="215" customWidth="1"/>
    <col min="5890" max="5890" width="17" style="215" customWidth="1"/>
    <col min="5891" max="5891" width="20.140625" style="215" customWidth="1"/>
    <col min="5892" max="5892" width="12.5703125" style="215" customWidth="1"/>
    <col min="5893" max="5894" width="11.5703125" style="215" customWidth="1"/>
    <col min="5895" max="5895" width="10.28515625" style="215" customWidth="1"/>
    <col min="5896" max="5896" width="9.85546875" style="215" customWidth="1"/>
    <col min="5897" max="5897" width="8.140625" style="215" customWidth="1"/>
    <col min="5898" max="5898" width="9.42578125" style="215" bestFit="1" customWidth="1"/>
    <col min="5899" max="5900" width="10.7109375" style="215" customWidth="1"/>
    <col min="5901" max="5901" width="11.42578125" style="215" customWidth="1"/>
    <col min="5902" max="5902" width="10.7109375" style="215" customWidth="1"/>
    <col min="5903" max="5903" width="5.7109375" style="215" customWidth="1"/>
    <col min="5904" max="5904" width="10.7109375" style="215" customWidth="1"/>
    <col min="5905" max="5905" width="5.7109375" style="215" customWidth="1"/>
    <col min="5906" max="5906" width="11.42578125" style="215" customWidth="1"/>
    <col min="5907" max="5907" width="5.7109375" style="215" customWidth="1"/>
    <col min="5908" max="5908" width="10.140625" style="215" customWidth="1"/>
    <col min="5909" max="5909" width="11.5703125" style="215" bestFit="1" customWidth="1"/>
    <col min="5910" max="6143" width="9.140625" style="215"/>
    <col min="6144" max="6144" width="6.5703125" style="215" customWidth="1"/>
    <col min="6145" max="6145" width="9.7109375" style="215" customWidth="1"/>
    <col min="6146" max="6146" width="17" style="215" customWidth="1"/>
    <col min="6147" max="6147" width="20.140625" style="215" customWidth="1"/>
    <col min="6148" max="6148" width="12.5703125" style="215" customWidth="1"/>
    <col min="6149" max="6150" width="11.5703125" style="215" customWidth="1"/>
    <col min="6151" max="6151" width="10.28515625" style="215" customWidth="1"/>
    <col min="6152" max="6152" width="9.85546875" style="215" customWidth="1"/>
    <col min="6153" max="6153" width="8.140625" style="215" customWidth="1"/>
    <col min="6154" max="6154" width="9.42578125" style="215" bestFit="1" customWidth="1"/>
    <col min="6155" max="6156" width="10.7109375" style="215" customWidth="1"/>
    <col min="6157" max="6157" width="11.42578125" style="215" customWidth="1"/>
    <col min="6158" max="6158" width="10.7109375" style="215" customWidth="1"/>
    <col min="6159" max="6159" width="5.7109375" style="215" customWidth="1"/>
    <col min="6160" max="6160" width="10.7109375" style="215" customWidth="1"/>
    <col min="6161" max="6161" width="5.7109375" style="215" customWidth="1"/>
    <col min="6162" max="6162" width="11.42578125" style="215" customWidth="1"/>
    <col min="6163" max="6163" width="5.7109375" style="215" customWidth="1"/>
    <col min="6164" max="6164" width="10.140625" style="215" customWidth="1"/>
    <col min="6165" max="6165" width="11.5703125" style="215" bestFit="1" customWidth="1"/>
    <col min="6166" max="6399" width="9.140625" style="215"/>
    <col min="6400" max="6400" width="6.5703125" style="215" customWidth="1"/>
    <col min="6401" max="6401" width="9.7109375" style="215" customWidth="1"/>
    <col min="6402" max="6402" width="17" style="215" customWidth="1"/>
    <col min="6403" max="6403" width="20.140625" style="215" customWidth="1"/>
    <col min="6404" max="6404" width="12.5703125" style="215" customWidth="1"/>
    <col min="6405" max="6406" width="11.5703125" style="215" customWidth="1"/>
    <col min="6407" max="6407" width="10.28515625" style="215" customWidth="1"/>
    <col min="6408" max="6408" width="9.85546875" style="215" customWidth="1"/>
    <col min="6409" max="6409" width="8.140625" style="215" customWidth="1"/>
    <col min="6410" max="6410" width="9.42578125" style="215" bestFit="1" customWidth="1"/>
    <col min="6411" max="6412" width="10.7109375" style="215" customWidth="1"/>
    <col min="6413" max="6413" width="11.42578125" style="215" customWidth="1"/>
    <col min="6414" max="6414" width="10.7109375" style="215" customWidth="1"/>
    <col min="6415" max="6415" width="5.7109375" style="215" customWidth="1"/>
    <col min="6416" max="6416" width="10.7109375" style="215" customWidth="1"/>
    <col min="6417" max="6417" width="5.7109375" style="215" customWidth="1"/>
    <col min="6418" max="6418" width="11.42578125" style="215" customWidth="1"/>
    <col min="6419" max="6419" width="5.7109375" style="215" customWidth="1"/>
    <col min="6420" max="6420" width="10.140625" style="215" customWidth="1"/>
    <col min="6421" max="6421" width="11.5703125" style="215" bestFit="1" customWidth="1"/>
    <col min="6422" max="6655" width="9.140625" style="215"/>
    <col min="6656" max="6656" width="6.5703125" style="215" customWidth="1"/>
    <col min="6657" max="6657" width="9.7109375" style="215" customWidth="1"/>
    <col min="6658" max="6658" width="17" style="215" customWidth="1"/>
    <col min="6659" max="6659" width="20.140625" style="215" customWidth="1"/>
    <col min="6660" max="6660" width="12.5703125" style="215" customWidth="1"/>
    <col min="6661" max="6662" width="11.5703125" style="215" customWidth="1"/>
    <col min="6663" max="6663" width="10.28515625" style="215" customWidth="1"/>
    <col min="6664" max="6664" width="9.85546875" style="215" customWidth="1"/>
    <col min="6665" max="6665" width="8.140625" style="215" customWidth="1"/>
    <col min="6666" max="6666" width="9.42578125" style="215" bestFit="1" customWidth="1"/>
    <col min="6667" max="6668" width="10.7109375" style="215" customWidth="1"/>
    <col min="6669" max="6669" width="11.42578125" style="215" customWidth="1"/>
    <col min="6670" max="6670" width="10.7109375" style="215" customWidth="1"/>
    <col min="6671" max="6671" width="5.7109375" style="215" customWidth="1"/>
    <col min="6672" max="6672" width="10.7109375" style="215" customWidth="1"/>
    <col min="6673" max="6673" width="5.7109375" style="215" customWidth="1"/>
    <col min="6674" max="6674" width="11.42578125" style="215" customWidth="1"/>
    <col min="6675" max="6675" width="5.7109375" style="215" customWidth="1"/>
    <col min="6676" max="6676" width="10.140625" style="215" customWidth="1"/>
    <col min="6677" max="6677" width="11.5703125" style="215" bestFit="1" customWidth="1"/>
    <col min="6678" max="6911" width="9.140625" style="215"/>
    <col min="6912" max="6912" width="6.5703125" style="215" customWidth="1"/>
    <col min="6913" max="6913" width="9.7109375" style="215" customWidth="1"/>
    <col min="6914" max="6914" width="17" style="215" customWidth="1"/>
    <col min="6915" max="6915" width="20.140625" style="215" customWidth="1"/>
    <col min="6916" max="6916" width="12.5703125" style="215" customWidth="1"/>
    <col min="6917" max="6918" width="11.5703125" style="215" customWidth="1"/>
    <col min="6919" max="6919" width="10.28515625" style="215" customWidth="1"/>
    <col min="6920" max="6920" width="9.85546875" style="215" customWidth="1"/>
    <col min="6921" max="6921" width="8.140625" style="215" customWidth="1"/>
    <col min="6922" max="6922" width="9.42578125" style="215" bestFit="1" customWidth="1"/>
    <col min="6923" max="6924" width="10.7109375" style="215" customWidth="1"/>
    <col min="6925" max="6925" width="11.42578125" style="215" customWidth="1"/>
    <col min="6926" max="6926" width="10.7109375" style="215" customWidth="1"/>
    <col min="6927" max="6927" width="5.7109375" style="215" customWidth="1"/>
    <col min="6928" max="6928" width="10.7109375" style="215" customWidth="1"/>
    <col min="6929" max="6929" width="5.7109375" style="215" customWidth="1"/>
    <col min="6930" max="6930" width="11.42578125" style="215" customWidth="1"/>
    <col min="6931" max="6931" width="5.7109375" style="215" customWidth="1"/>
    <col min="6932" max="6932" width="10.140625" style="215" customWidth="1"/>
    <col min="6933" max="6933" width="11.5703125" style="215" bestFit="1" customWidth="1"/>
    <col min="6934" max="7167" width="9.140625" style="215"/>
    <col min="7168" max="7168" width="6.5703125" style="215" customWidth="1"/>
    <col min="7169" max="7169" width="9.7109375" style="215" customWidth="1"/>
    <col min="7170" max="7170" width="17" style="215" customWidth="1"/>
    <col min="7171" max="7171" width="20.140625" style="215" customWidth="1"/>
    <col min="7172" max="7172" width="12.5703125" style="215" customWidth="1"/>
    <col min="7173" max="7174" width="11.5703125" style="215" customWidth="1"/>
    <col min="7175" max="7175" width="10.28515625" style="215" customWidth="1"/>
    <col min="7176" max="7176" width="9.85546875" style="215" customWidth="1"/>
    <col min="7177" max="7177" width="8.140625" style="215" customWidth="1"/>
    <col min="7178" max="7178" width="9.42578125" style="215" bestFit="1" customWidth="1"/>
    <col min="7179" max="7180" width="10.7109375" style="215" customWidth="1"/>
    <col min="7181" max="7181" width="11.42578125" style="215" customWidth="1"/>
    <col min="7182" max="7182" width="10.7109375" style="215" customWidth="1"/>
    <col min="7183" max="7183" width="5.7109375" style="215" customWidth="1"/>
    <col min="7184" max="7184" width="10.7109375" style="215" customWidth="1"/>
    <col min="7185" max="7185" width="5.7109375" style="215" customWidth="1"/>
    <col min="7186" max="7186" width="11.42578125" style="215" customWidth="1"/>
    <col min="7187" max="7187" width="5.7109375" style="215" customWidth="1"/>
    <col min="7188" max="7188" width="10.140625" style="215" customWidth="1"/>
    <col min="7189" max="7189" width="11.5703125" style="215" bestFit="1" customWidth="1"/>
    <col min="7190" max="7423" width="9.140625" style="215"/>
    <col min="7424" max="7424" width="6.5703125" style="215" customWidth="1"/>
    <col min="7425" max="7425" width="9.7109375" style="215" customWidth="1"/>
    <col min="7426" max="7426" width="17" style="215" customWidth="1"/>
    <col min="7427" max="7427" width="20.140625" style="215" customWidth="1"/>
    <col min="7428" max="7428" width="12.5703125" style="215" customWidth="1"/>
    <col min="7429" max="7430" width="11.5703125" style="215" customWidth="1"/>
    <col min="7431" max="7431" width="10.28515625" style="215" customWidth="1"/>
    <col min="7432" max="7432" width="9.85546875" style="215" customWidth="1"/>
    <col min="7433" max="7433" width="8.140625" style="215" customWidth="1"/>
    <col min="7434" max="7434" width="9.42578125" style="215" bestFit="1" customWidth="1"/>
    <col min="7435" max="7436" width="10.7109375" style="215" customWidth="1"/>
    <col min="7437" max="7437" width="11.42578125" style="215" customWidth="1"/>
    <col min="7438" max="7438" width="10.7109375" style="215" customWidth="1"/>
    <col min="7439" max="7439" width="5.7109375" style="215" customWidth="1"/>
    <col min="7440" max="7440" width="10.7109375" style="215" customWidth="1"/>
    <col min="7441" max="7441" width="5.7109375" style="215" customWidth="1"/>
    <col min="7442" max="7442" width="11.42578125" style="215" customWidth="1"/>
    <col min="7443" max="7443" width="5.7109375" style="215" customWidth="1"/>
    <col min="7444" max="7444" width="10.140625" style="215" customWidth="1"/>
    <col min="7445" max="7445" width="11.5703125" style="215" bestFit="1" customWidth="1"/>
    <col min="7446" max="7679" width="9.140625" style="215"/>
    <col min="7680" max="7680" width="6.5703125" style="215" customWidth="1"/>
    <col min="7681" max="7681" width="9.7109375" style="215" customWidth="1"/>
    <col min="7682" max="7682" width="17" style="215" customWidth="1"/>
    <col min="7683" max="7683" width="20.140625" style="215" customWidth="1"/>
    <col min="7684" max="7684" width="12.5703125" style="215" customWidth="1"/>
    <col min="7685" max="7686" width="11.5703125" style="215" customWidth="1"/>
    <col min="7687" max="7687" width="10.28515625" style="215" customWidth="1"/>
    <col min="7688" max="7688" width="9.85546875" style="215" customWidth="1"/>
    <col min="7689" max="7689" width="8.140625" style="215" customWidth="1"/>
    <col min="7690" max="7690" width="9.42578125" style="215" bestFit="1" customWidth="1"/>
    <col min="7691" max="7692" width="10.7109375" style="215" customWidth="1"/>
    <col min="7693" max="7693" width="11.42578125" style="215" customWidth="1"/>
    <col min="7694" max="7694" width="10.7109375" style="215" customWidth="1"/>
    <col min="7695" max="7695" width="5.7109375" style="215" customWidth="1"/>
    <col min="7696" max="7696" width="10.7109375" style="215" customWidth="1"/>
    <col min="7697" max="7697" width="5.7109375" style="215" customWidth="1"/>
    <col min="7698" max="7698" width="11.42578125" style="215" customWidth="1"/>
    <col min="7699" max="7699" width="5.7109375" style="215" customWidth="1"/>
    <col min="7700" max="7700" width="10.140625" style="215" customWidth="1"/>
    <col min="7701" max="7701" width="11.5703125" style="215" bestFit="1" customWidth="1"/>
    <col min="7702" max="7935" width="9.140625" style="215"/>
    <col min="7936" max="7936" width="6.5703125" style="215" customWidth="1"/>
    <col min="7937" max="7937" width="9.7109375" style="215" customWidth="1"/>
    <col min="7938" max="7938" width="17" style="215" customWidth="1"/>
    <col min="7939" max="7939" width="20.140625" style="215" customWidth="1"/>
    <col min="7940" max="7940" width="12.5703125" style="215" customWidth="1"/>
    <col min="7941" max="7942" width="11.5703125" style="215" customWidth="1"/>
    <col min="7943" max="7943" width="10.28515625" style="215" customWidth="1"/>
    <col min="7944" max="7944" width="9.85546875" style="215" customWidth="1"/>
    <col min="7945" max="7945" width="8.140625" style="215" customWidth="1"/>
    <col min="7946" max="7946" width="9.42578125" style="215" bestFit="1" customWidth="1"/>
    <col min="7947" max="7948" width="10.7109375" style="215" customWidth="1"/>
    <col min="7949" max="7949" width="11.42578125" style="215" customWidth="1"/>
    <col min="7950" max="7950" width="10.7109375" style="215" customWidth="1"/>
    <col min="7951" max="7951" width="5.7109375" style="215" customWidth="1"/>
    <col min="7952" max="7952" width="10.7109375" style="215" customWidth="1"/>
    <col min="7953" max="7953" width="5.7109375" style="215" customWidth="1"/>
    <col min="7954" max="7954" width="11.42578125" style="215" customWidth="1"/>
    <col min="7955" max="7955" width="5.7109375" style="215" customWidth="1"/>
    <col min="7956" max="7956" width="10.140625" style="215" customWidth="1"/>
    <col min="7957" max="7957" width="11.5703125" style="215" bestFit="1" customWidth="1"/>
    <col min="7958" max="8191" width="9.140625" style="215"/>
    <col min="8192" max="8192" width="6.5703125" style="215" customWidth="1"/>
    <col min="8193" max="8193" width="9.7109375" style="215" customWidth="1"/>
    <col min="8194" max="8194" width="17" style="215" customWidth="1"/>
    <col min="8195" max="8195" width="20.140625" style="215" customWidth="1"/>
    <col min="8196" max="8196" width="12.5703125" style="215" customWidth="1"/>
    <col min="8197" max="8198" width="11.5703125" style="215" customWidth="1"/>
    <col min="8199" max="8199" width="10.28515625" style="215" customWidth="1"/>
    <col min="8200" max="8200" width="9.85546875" style="215" customWidth="1"/>
    <col min="8201" max="8201" width="8.140625" style="215" customWidth="1"/>
    <col min="8202" max="8202" width="9.42578125" style="215" bestFit="1" customWidth="1"/>
    <col min="8203" max="8204" width="10.7109375" style="215" customWidth="1"/>
    <col min="8205" max="8205" width="11.42578125" style="215" customWidth="1"/>
    <col min="8206" max="8206" width="10.7109375" style="215" customWidth="1"/>
    <col min="8207" max="8207" width="5.7109375" style="215" customWidth="1"/>
    <col min="8208" max="8208" width="10.7109375" style="215" customWidth="1"/>
    <col min="8209" max="8209" width="5.7109375" style="215" customWidth="1"/>
    <col min="8210" max="8210" width="11.42578125" style="215" customWidth="1"/>
    <col min="8211" max="8211" width="5.7109375" style="215" customWidth="1"/>
    <col min="8212" max="8212" width="10.140625" style="215" customWidth="1"/>
    <col min="8213" max="8213" width="11.5703125" style="215" bestFit="1" customWidth="1"/>
    <col min="8214" max="8447" width="9.140625" style="215"/>
    <col min="8448" max="8448" width="6.5703125" style="215" customWidth="1"/>
    <col min="8449" max="8449" width="9.7109375" style="215" customWidth="1"/>
    <col min="8450" max="8450" width="17" style="215" customWidth="1"/>
    <col min="8451" max="8451" width="20.140625" style="215" customWidth="1"/>
    <col min="8452" max="8452" width="12.5703125" style="215" customWidth="1"/>
    <col min="8453" max="8454" width="11.5703125" style="215" customWidth="1"/>
    <col min="8455" max="8455" width="10.28515625" style="215" customWidth="1"/>
    <col min="8456" max="8456" width="9.85546875" style="215" customWidth="1"/>
    <col min="8457" max="8457" width="8.140625" style="215" customWidth="1"/>
    <col min="8458" max="8458" width="9.42578125" style="215" bestFit="1" customWidth="1"/>
    <col min="8459" max="8460" width="10.7109375" style="215" customWidth="1"/>
    <col min="8461" max="8461" width="11.42578125" style="215" customWidth="1"/>
    <col min="8462" max="8462" width="10.7109375" style="215" customWidth="1"/>
    <col min="8463" max="8463" width="5.7109375" style="215" customWidth="1"/>
    <col min="8464" max="8464" width="10.7109375" style="215" customWidth="1"/>
    <col min="8465" max="8465" width="5.7109375" style="215" customWidth="1"/>
    <col min="8466" max="8466" width="11.42578125" style="215" customWidth="1"/>
    <col min="8467" max="8467" width="5.7109375" style="215" customWidth="1"/>
    <col min="8468" max="8468" width="10.140625" style="215" customWidth="1"/>
    <col min="8469" max="8469" width="11.5703125" style="215" bestFit="1" customWidth="1"/>
    <col min="8470" max="8703" width="9.140625" style="215"/>
    <col min="8704" max="8704" width="6.5703125" style="215" customWidth="1"/>
    <col min="8705" max="8705" width="9.7109375" style="215" customWidth="1"/>
    <col min="8706" max="8706" width="17" style="215" customWidth="1"/>
    <col min="8707" max="8707" width="20.140625" style="215" customWidth="1"/>
    <col min="8708" max="8708" width="12.5703125" style="215" customWidth="1"/>
    <col min="8709" max="8710" width="11.5703125" style="215" customWidth="1"/>
    <col min="8711" max="8711" width="10.28515625" style="215" customWidth="1"/>
    <col min="8712" max="8712" width="9.85546875" style="215" customWidth="1"/>
    <col min="8713" max="8713" width="8.140625" style="215" customWidth="1"/>
    <col min="8714" max="8714" width="9.42578125" style="215" bestFit="1" customWidth="1"/>
    <col min="8715" max="8716" width="10.7109375" style="215" customWidth="1"/>
    <col min="8717" max="8717" width="11.42578125" style="215" customWidth="1"/>
    <col min="8718" max="8718" width="10.7109375" style="215" customWidth="1"/>
    <col min="8719" max="8719" width="5.7109375" style="215" customWidth="1"/>
    <col min="8720" max="8720" width="10.7109375" style="215" customWidth="1"/>
    <col min="8721" max="8721" width="5.7109375" style="215" customWidth="1"/>
    <col min="8722" max="8722" width="11.42578125" style="215" customWidth="1"/>
    <col min="8723" max="8723" width="5.7109375" style="215" customWidth="1"/>
    <col min="8724" max="8724" width="10.140625" style="215" customWidth="1"/>
    <col min="8725" max="8725" width="11.5703125" style="215" bestFit="1" customWidth="1"/>
    <col min="8726" max="8959" width="9.140625" style="215"/>
    <col min="8960" max="8960" width="6.5703125" style="215" customWidth="1"/>
    <col min="8961" max="8961" width="9.7109375" style="215" customWidth="1"/>
    <col min="8962" max="8962" width="17" style="215" customWidth="1"/>
    <col min="8963" max="8963" width="20.140625" style="215" customWidth="1"/>
    <col min="8964" max="8964" width="12.5703125" style="215" customWidth="1"/>
    <col min="8965" max="8966" width="11.5703125" style="215" customWidth="1"/>
    <col min="8967" max="8967" width="10.28515625" style="215" customWidth="1"/>
    <col min="8968" max="8968" width="9.85546875" style="215" customWidth="1"/>
    <col min="8969" max="8969" width="8.140625" style="215" customWidth="1"/>
    <col min="8970" max="8970" width="9.42578125" style="215" bestFit="1" customWidth="1"/>
    <col min="8971" max="8972" width="10.7109375" style="215" customWidth="1"/>
    <col min="8973" max="8973" width="11.42578125" style="215" customWidth="1"/>
    <col min="8974" max="8974" width="10.7109375" style="215" customWidth="1"/>
    <col min="8975" max="8975" width="5.7109375" style="215" customWidth="1"/>
    <col min="8976" max="8976" width="10.7109375" style="215" customWidth="1"/>
    <col min="8977" max="8977" width="5.7109375" style="215" customWidth="1"/>
    <col min="8978" max="8978" width="11.42578125" style="215" customWidth="1"/>
    <col min="8979" max="8979" width="5.7109375" style="215" customWidth="1"/>
    <col min="8980" max="8980" width="10.140625" style="215" customWidth="1"/>
    <col min="8981" max="8981" width="11.5703125" style="215" bestFit="1" customWidth="1"/>
    <col min="8982" max="9215" width="9.140625" style="215"/>
    <col min="9216" max="9216" width="6.5703125" style="215" customWidth="1"/>
    <col min="9217" max="9217" width="9.7109375" style="215" customWidth="1"/>
    <col min="9218" max="9218" width="17" style="215" customWidth="1"/>
    <col min="9219" max="9219" width="20.140625" style="215" customWidth="1"/>
    <col min="9220" max="9220" width="12.5703125" style="215" customWidth="1"/>
    <col min="9221" max="9222" width="11.5703125" style="215" customWidth="1"/>
    <col min="9223" max="9223" width="10.28515625" style="215" customWidth="1"/>
    <col min="9224" max="9224" width="9.85546875" style="215" customWidth="1"/>
    <col min="9225" max="9225" width="8.140625" style="215" customWidth="1"/>
    <col min="9226" max="9226" width="9.42578125" style="215" bestFit="1" customWidth="1"/>
    <col min="9227" max="9228" width="10.7109375" style="215" customWidth="1"/>
    <col min="9229" max="9229" width="11.42578125" style="215" customWidth="1"/>
    <col min="9230" max="9230" width="10.7109375" style="215" customWidth="1"/>
    <col min="9231" max="9231" width="5.7109375" style="215" customWidth="1"/>
    <col min="9232" max="9232" width="10.7109375" style="215" customWidth="1"/>
    <col min="9233" max="9233" width="5.7109375" style="215" customWidth="1"/>
    <col min="9234" max="9234" width="11.42578125" style="215" customWidth="1"/>
    <col min="9235" max="9235" width="5.7109375" style="215" customWidth="1"/>
    <col min="9236" max="9236" width="10.140625" style="215" customWidth="1"/>
    <col min="9237" max="9237" width="11.5703125" style="215" bestFit="1" customWidth="1"/>
    <col min="9238" max="9471" width="9.140625" style="215"/>
    <col min="9472" max="9472" width="6.5703125" style="215" customWidth="1"/>
    <col min="9473" max="9473" width="9.7109375" style="215" customWidth="1"/>
    <col min="9474" max="9474" width="17" style="215" customWidth="1"/>
    <col min="9475" max="9475" width="20.140625" style="215" customWidth="1"/>
    <col min="9476" max="9476" width="12.5703125" style="215" customWidth="1"/>
    <col min="9477" max="9478" width="11.5703125" style="215" customWidth="1"/>
    <col min="9479" max="9479" width="10.28515625" style="215" customWidth="1"/>
    <col min="9480" max="9480" width="9.85546875" style="215" customWidth="1"/>
    <col min="9481" max="9481" width="8.140625" style="215" customWidth="1"/>
    <col min="9482" max="9482" width="9.42578125" style="215" bestFit="1" customWidth="1"/>
    <col min="9483" max="9484" width="10.7109375" style="215" customWidth="1"/>
    <col min="9485" max="9485" width="11.42578125" style="215" customWidth="1"/>
    <col min="9486" max="9486" width="10.7109375" style="215" customWidth="1"/>
    <col min="9487" max="9487" width="5.7109375" style="215" customWidth="1"/>
    <col min="9488" max="9488" width="10.7109375" style="215" customWidth="1"/>
    <col min="9489" max="9489" width="5.7109375" style="215" customWidth="1"/>
    <col min="9490" max="9490" width="11.42578125" style="215" customWidth="1"/>
    <col min="9491" max="9491" width="5.7109375" style="215" customWidth="1"/>
    <col min="9492" max="9492" width="10.140625" style="215" customWidth="1"/>
    <col min="9493" max="9493" width="11.5703125" style="215" bestFit="1" customWidth="1"/>
    <col min="9494" max="9727" width="9.140625" style="215"/>
    <col min="9728" max="9728" width="6.5703125" style="215" customWidth="1"/>
    <col min="9729" max="9729" width="9.7109375" style="215" customWidth="1"/>
    <col min="9730" max="9730" width="17" style="215" customWidth="1"/>
    <col min="9731" max="9731" width="20.140625" style="215" customWidth="1"/>
    <col min="9732" max="9732" width="12.5703125" style="215" customWidth="1"/>
    <col min="9733" max="9734" width="11.5703125" style="215" customWidth="1"/>
    <col min="9735" max="9735" width="10.28515625" style="215" customWidth="1"/>
    <col min="9736" max="9736" width="9.85546875" style="215" customWidth="1"/>
    <col min="9737" max="9737" width="8.140625" style="215" customWidth="1"/>
    <col min="9738" max="9738" width="9.42578125" style="215" bestFit="1" customWidth="1"/>
    <col min="9739" max="9740" width="10.7109375" style="215" customWidth="1"/>
    <col min="9741" max="9741" width="11.42578125" style="215" customWidth="1"/>
    <col min="9742" max="9742" width="10.7109375" style="215" customWidth="1"/>
    <col min="9743" max="9743" width="5.7109375" style="215" customWidth="1"/>
    <col min="9744" max="9744" width="10.7109375" style="215" customWidth="1"/>
    <col min="9745" max="9745" width="5.7109375" style="215" customWidth="1"/>
    <col min="9746" max="9746" width="11.42578125" style="215" customWidth="1"/>
    <col min="9747" max="9747" width="5.7109375" style="215" customWidth="1"/>
    <col min="9748" max="9748" width="10.140625" style="215" customWidth="1"/>
    <col min="9749" max="9749" width="11.5703125" style="215" bestFit="1" customWidth="1"/>
    <col min="9750" max="9983" width="9.140625" style="215"/>
    <col min="9984" max="9984" width="6.5703125" style="215" customWidth="1"/>
    <col min="9985" max="9985" width="9.7109375" style="215" customWidth="1"/>
    <col min="9986" max="9986" width="17" style="215" customWidth="1"/>
    <col min="9987" max="9987" width="20.140625" style="215" customWidth="1"/>
    <col min="9988" max="9988" width="12.5703125" style="215" customWidth="1"/>
    <col min="9989" max="9990" width="11.5703125" style="215" customWidth="1"/>
    <col min="9991" max="9991" width="10.28515625" style="215" customWidth="1"/>
    <col min="9992" max="9992" width="9.85546875" style="215" customWidth="1"/>
    <col min="9993" max="9993" width="8.140625" style="215" customWidth="1"/>
    <col min="9994" max="9994" width="9.42578125" style="215" bestFit="1" customWidth="1"/>
    <col min="9995" max="9996" width="10.7109375" style="215" customWidth="1"/>
    <col min="9997" max="9997" width="11.42578125" style="215" customWidth="1"/>
    <col min="9998" max="9998" width="10.7109375" style="215" customWidth="1"/>
    <col min="9999" max="9999" width="5.7109375" style="215" customWidth="1"/>
    <col min="10000" max="10000" width="10.7109375" style="215" customWidth="1"/>
    <col min="10001" max="10001" width="5.7109375" style="215" customWidth="1"/>
    <col min="10002" max="10002" width="11.42578125" style="215" customWidth="1"/>
    <col min="10003" max="10003" width="5.7109375" style="215" customWidth="1"/>
    <col min="10004" max="10004" width="10.140625" style="215" customWidth="1"/>
    <col min="10005" max="10005" width="11.5703125" style="215" bestFit="1" customWidth="1"/>
    <col min="10006" max="10239" width="9.140625" style="215"/>
    <col min="10240" max="10240" width="6.5703125" style="215" customWidth="1"/>
    <col min="10241" max="10241" width="9.7109375" style="215" customWidth="1"/>
    <col min="10242" max="10242" width="17" style="215" customWidth="1"/>
    <col min="10243" max="10243" width="20.140625" style="215" customWidth="1"/>
    <col min="10244" max="10244" width="12.5703125" style="215" customWidth="1"/>
    <col min="10245" max="10246" width="11.5703125" style="215" customWidth="1"/>
    <col min="10247" max="10247" width="10.28515625" style="215" customWidth="1"/>
    <col min="10248" max="10248" width="9.85546875" style="215" customWidth="1"/>
    <col min="10249" max="10249" width="8.140625" style="215" customWidth="1"/>
    <col min="10250" max="10250" width="9.42578125" style="215" bestFit="1" customWidth="1"/>
    <col min="10251" max="10252" width="10.7109375" style="215" customWidth="1"/>
    <col min="10253" max="10253" width="11.42578125" style="215" customWidth="1"/>
    <col min="10254" max="10254" width="10.7109375" style="215" customWidth="1"/>
    <col min="10255" max="10255" width="5.7109375" style="215" customWidth="1"/>
    <col min="10256" max="10256" width="10.7109375" style="215" customWidth="1"/>
    <col min="10257" max="10257" width="5.7109375" style="215" customWidth="1"/>
    <col min="10258" max="10258" width="11.42578125" style="215" customWidth="1"/>
    <col min="10259" max="10259" width="5.7109375" style="215" customWidth="1"/>
    <col min="10260" max="10260" width="10.140625" style="215" customWidth="1"/>
    <col min="10261" max="10261" width="11.5703125" style="215" bestFit="1" customWidth="1"/>
    <col min="10262" max="10495" width="9.140625" style="215"/>
    <col min="10496" max="10496" width="6.5703125" style="215" customWidth="1"/>
    <col min="10497" max="10497" width="9.7109375" style="215" customWidth="1"/>
    <col min="10498" max="10498" width="17" style="215" customWidth="1"/>
    <col min="10499" max="10499" width="20.140625" style="215" customWidth="1"/>
    <col min="10500" max="10500" width="12.5703125" style="215" customWidth="1"/>
    <col min="10501" max="10502" width="11.5703125" style="215" customWidth="1"/>
    <col min="10503" max="10503" width="10.28515625" style="215" customWidth="1"/>
    <col min="10504" max="10504" width="9.85546875" style="215" customWidth="1"/>
    <col min="10505" max="10505" width="8.140625" style="215" customWidth="1"/>
    <col min="10506" max="10506" width="9.42578125" style="215" bestFit="1" customWidth="1"/>
    <col min="10507" max="10508" width="10.7109375" style="215" customWidth="1"/>
    <col min="10509" max="10509" width="11.42578125" style="215" customWidth="1"/>
    <col min="10510" max="10510" width="10.7109375" style="215" customWidth="1"/>
    <col min="10511" max="10511" width="5.7109375" style="215" customWidth="1"/>
    <col min="10512" max="10512" width="10.7109375" style="215" customWidth="1"/>
    <col min="10513" max="10513" width="5.7109375" style="215" customWidth="1"/>
    <col min="10514" max="10514" width="11.42578125" style="215" customWidth="1"/>
    <col min="10515" max="10515" width="5.7109375" style="215" customWidth="1"/>
    <col min="10516" max="10516" width="10.140625" style="215" customWidth="1"/>
    <col min="10517" max="10517" width="11.5703125" style="215" bestFit="1" customWidth="1"/>
    <col min="10518" max="10751" width="9.140625" style="215"/>
    <col min="10752" max="10752" width="6.5703125" style="215" customWidth="1"/>
    <col min="10753" max="10753" width="9.7109375" style="215" customWidth="1"/>
    <col min="10754" max="10754" width="17" style="215" customWidth="1"/>
    <col min="10755" max="10755" width="20.140625" style="215" customWidth="1"/>
    <col min="10756" max="10756" width="12.5703125" style="215" customWidth="1"/>
    <col min="10757" max="10758" width="11.5703125" style="215" customWidth="1"/>
    <col min="10759" max="10759" width="10.28515625" style="215" customWidth="1"/>
    <col min="10760" max="10760" width="9.85546875" style="215" customWidth="1"/>
    <col min="10761" max="10761" width="8.140625" style="215" customWidth="1"/>
    <col min="10762" max="10762" width="9.42578125" style="215" bestFit="1" customWidth="1"/>
    <col min="10763" max="10764" width="10.7109375" style="215" customWidth="1"/>
    <col min="10765" max="10765" width="11.42578125" style="215" customWidth="1"/>
    <col min="10766" max="10766" width="10.7109375" style="215" customWidth="1"/>
    <col min="10767" max="10767" width="5.7109375" style="215" customWidth="1"/>
    <col min="10768" max="10768" width="10.7109375" style="215" customWidth="1"/>
    <col min="10769" max="10769" width="5.7109375" style="215" customWidth="1"/>
    <col min="10770" max="10770" width="11.42578125" style="215" customWidth="1"/>
    <col min="10771" max="10771" width="5.7109375" style="215" customWidth="1"/>
    <col min="10772" max="10772" width="10.140625" style="215" customWidth="1"/>
    <col min="10773" max="10773" width="11.5703125" style="215" bestFit="1" customWidth="1"/>
    <col min="10774" max="11007" width="9.140625" style="215"/>
    <col min="11008" max="11008" width="6.5703125" style="215" customWidth="1"/>
    <col min="11009" max="11009" width="9.7109375" style="215" customWidth="1"/>
    <col min="11010" max="11010" width="17" style="215" customWidth="1"/>
    <col min="11011" max="11011" width="20.140625" style="215" customWidth="1"/>
    <col min="11012" max="11012" width="12.5703125" style="215" customWidth="1"/>
    <col min="11013" max="11014" width="11.5703125" style="215" customWidth="1"/>
    <col min="11015" max="11015" width="10.28515625" style="215" customWidth="1"/>
    <col min="11016" max="11016" width="9.85546875" style="215" customWidth="1"/>
    <col min="11017" max="11017" width="8.140625" style="215" customWidth="1"/>
    <col min="11018" max="11018" width="9.42578125" style="215" bestFit="1" customWidth="1"/>
    <col min="11019" max="11020" width="10.7109375" style="215" customWidth="1"/>
    <col min="11021" max="11021" width="11.42578125" style="215" customWidth="1"/>
    <col min="11022" max="11022" width="10.7109375" style="215" customWidth="1"/>
    <col min="11023" max="11023" width="5.7109375" style="215" customWidth="1"/>
    <col min="11024" max="11024" width="10.7109375" style="215" customWidth="1"/>
    <col min="11025" max="11025" width="5.7109375" style="215" customWidth="1"/>
    <col min="11026" max="11026" width="11.42578125" style="215" customWidth="1"/>
    <col min="11027" max="11027" width="5.7109375" style="215" customWidth="1"/>
    <col min="11028" max="11028" width="10.140625" style="215" customWidth="1"/>
    <col min="11029" max="11029" width="11.5703125" style="215" bestFit="1" customWidth="1"/>
    <col min="11030" max="11263" width="9.140625" style="215"/>
    <col min="11264" max="11264" width="6.5703125" style="215" customWidth="1"/>
    <col min="11265" max="11265" width="9.7109375" style="215" customWidth="1"/>
    <col min="11266" max="11266" width="17" style="215" customWidth="1"/>
    <col min="11267" max="11267" width="20.140625" style="215" customWidth="1"/>
    <col min="11268" max="11268" width="12.5703125" style="215" customWidth="1"/>
    <col min="11269" max="11270" width="11.5703125" style="215" customWidth="1"/>
    <col min="11271" max="11271" width="10.28515625" style="215" customWidth="1"/>
    <col min="11272" max="11272" width="9.85546875" style="215" customWidth="1"/>
    <col min="11273" max="11273" width="8.140625" style="215" customWidth="1"/>
    <col min="11274" max="11274" width="9.42578125" style="215" bestFit="1" customWidth="1"/>
    <col min="11275" max="11276" width="10.7109375" style="215" customWidth="1"/>
    <col min="11277" max="11277" width="11.42578125" style="215" customWidth="1"/>
    <col min="11278" max="11278" width="10.7109375" style="215" customWidth="1"/>
    <col min="11279" max="11279" width="5.7109375" style="215" customWidth="1"/>
    <col min="11280" max="11280" width="10.7109375" style="215" customWidth="1"/>
    <col min="11281" max="11281" width="5.7109375" style="215" customWidth="1"/>
    <col min="11282" max="11282" width="11.42578125" style="215" customWidth="1"/>
    <col min="11283" max="11283" width="5.7109375" style="215" customWidth="1"/>
    <col min="11284" max="11284" width="10.140625" style="215" customWidth="1"/>
    <col min="11285" max="11285" width="11.5703125" style="215" bestFit="1" customWidth="1"/>
    <col min="11286" max="11519" width="9.140625" style="215"/>
    <col min="11520" max="11520" width="6.5703125" style="215" customWidth="1"/>
    <col min="11521" max="11521" width="9.7109375" style="215" customWidth="1"/>
    <col min="11522" max="11522" width="17" style="215" customWidth="1"/>
    <col min="11523" max="11523" width="20.140625" style="215" customWidth="1"/>
    <col min="11524" max="11524" width="12.5703125" style="215" customWidth="1"/>
    <col min="11525" max="11526" width="11.5703125" style="215" customWidth="1"/>
    <col min="11527" max="11527" width="10.28515625" style="215" customWidth="1"/>
    <col min="11528" max="11528" width="9.85546875" style="215" customWidth="1"/>
    <col min="11529" max="11529" width="8.140625" style="215" customWidth="1"/>
    <col min="11530" max="11530" width="9.42578125" style="215" bestFit="1" customWidth="1"/>
    <col min="11531" max="11532" width="10.7109375" style="215" customWidth="1"/>
    <col min="11533" max="11533" width="11.42578125" style="215" customWidth="1"/>
    <col min="11534" max="11534" width="10.7109375" style="215" customWidth="1"/>
    <col min="11535" max="11535" width="5.7109375" style="215" customWidth="1"/>
    <col min="11536" max="11536" width="10.7109375" style="215" customWidth="1"/>
    <col min="11537" max="11537" width="5.7109375" style="215" customWidth="1"/>
    <col min="11538" max="11538" width="11.42578125" style="215" customWidth="1"/>
    <col min="11539" max="11539" width="5.7109375" style="215" customWidth="1"/>
    <col min="11540" max="11540" width="10.140625" style="215" customWidth="1"/>
    <col min="11541" max="11541" width="11.5703125" style="215" bestFit="1" customWidth="1"/>
    <col min="11542" max="11775" width="9.140625" style="215"/>
    <col min="11776" max="11776" width="6.5703125" style="215" customWidth="1"/>
    <col min="11777" max="11777" width="9.7109375" style="215" customWidth="1"/>
    <col min="11778" max="11778" width="17" style="215" customWidth="1"/>
    <col min="11779" max="11779" width="20.140625" style="215" customWidth="1"/>
    <col min="11780" max="11780" width="12.5703125" style="215" customWidth="1"/>
    <col min="11781" max="11782" width="11.5703125" style="215" customWidth="1"/>
    <col min="11783" max="11783" width="10.28515625" style="215" customWidth="1"/>
    <col min="11784" max="11784" width="9.85546875" style="215" customWidth="1"/>
    <col min="11785" max="11785" width="8.140625" style="215" customWidth="1"/>
    <col min="11786" max="11786" width="9.42578125" style="215" bestFit="1" customWidth="1"/>
    <col min="11787" max="11788" width="10.7109375" style="215" customWidth="1"/>
    <col min="11789" max="11789" width="11.42578125" style="215" customWidth="1"/>
    <col min="11790" max="11790" width="10.7109375" style="215" customWidth="1"/>
    <col min="11791" max="11791" width="5.7109375" style="215" customWidth="1"/>
    <col min="11792" max="11792" width="10.7109375" style="215" customWidth="1"/>
    <col min="11793" max="11793" width="5.7109375" style="215" customWidth="1"/>
    <col min="11794" max="11794" width="11.42578125" style="215" customWidth="1"/>
    <col min="11795" max="11795" width="5.7109375" style="215" customWidth="1"/>
    <col min="11796" max="11796" width="10.140625" style="215" customWidth="1"/>
    <col min="11797" max="11797" width="11.5703125" style="215" bestFit="1" customWidth="1"/>
    <col min="11798" max="12031" width="9.140625" style="215"/>
    <col min="12032" max="12032" width="6.5703125" style="215" customWidth="1"/>
    <col min="12033" max="12033" width="9.7109375" style="215" customWidth="1"/>
    <col min="12034" max="12034" width="17" style="215" customWidth="1"/>
    <col min="12035" max="12035" width="20.140625" style="215" customWidth="1"/>
    <col min="12036" max="12036" width="12.5703125" style="215" customWidth="1"/>
    <col min="12037" max="12038" width="11.5703125" style="215" customWidth="1"/>
    <col min="12039" max="12039" width="10.28515625" style="215" customWidth="1"/>
    <col min="12040" max="12040" width="9.85546875" style="215" customWidth="1"/>
    <col min="12041" max="12041" width="8.140625" style="215" customWidth="1"/>
    <col min="12042" max="12042" width="9.42578125" style="215" bestFit="1" customWidth="1"/>
    <col min="12043" max="12044" width="10.7109375" style="215" customWidth="1"/>
    <col min="12045" max="12045" width="11.42578125" style="215" customWidth="1"/>
    <col min="12046" max="12046" width="10.7109375" style="215" customWidth="1"/>
    <col min="12047" max="12047" width="5.7109375" style="215" customWidth="1"/>
    <col min="12048" max="12048" width="10.7109375" style="215" customWidth="1"/>
    <col min="12049" max="12049" width="5.7109375" style="215" customWidth="1"/>
    <col min="12050" max="12050" width="11.42578125" style="215" customWidth="1"/>
    <col min="12051" max="12051" width="5.7109375" style="215" customWidth="1"/>
    <col min="12052" max="12052" width="10.140625" style="215" customWidth="1"/>
    <col min="12053" max="12053" width="11.5703125" style="215" bestFit="1" customWidth="1"/>
    <col min="12054" max="12287" width="9.140625" style="215"/>
    <col min="12288" max="12288" width="6.5703125" style="215" customWidth="1"/>
    <col min="12289" max="12289" width="9.7109375" style="215" customWidth="1"/>
    <col min="12290" max="12290" width="17" style="215" customWidth="1"/>
    <col min="12291" max="12291" width="20.140625" style="215" customWidth="1"/>
    <col min="12292" max="12292" width="12.5703125" style="215" customWidth="1"/>
    <col min="12293" max="12294" width="11.5703125" style="215" customWidth="1"/>
    <col min="12295" max="12295" width="10.28515625" style="215" customWidth="1"/>
    <col min="12296" max="12296" width="9.85546875" style="215" customWidth="1"/>
    <col min="12297" max="12297" width="8.140625" style="215" customWidth="1"/>
    <col min="12298" max="12298" width="9.42578125" style="215" bestFit="1" customWidth="1"/>
    <col min="12299" max="12300" width="10.7109375" style="215" customWidth="1"/>
    <col min="12301" max="12301" width="11.42578125" style="215" customWidth="1"/>
    <col min="12302" max="12302" width="10.7109375" style="215" customWidth="1"/>
    <col min="12303" max="12303" width="5.7109375" style="215" customWidth="1"/>
    <col min="12304" max="12304" width="10.7109375" style="215" customWidth="1"/>
    <col min="12305" max="12305" width="5.7109375" style="215" customWidth="1"/>
    <col min="12306" max="12306" width="11.42578125" style="215" customWidth="1"/>
    <col min="12307" max="12307" width="5.7109375" style="215" customWidth="1"/>
    <col min="12308" max="12308" width="10.140625" style="215" customWidth="1"/>
    <col min="12309" max="12309" width="11.5703125" style="215" bestFit="1" customWidth="1"/>
    <col min="12310" max="12543" width="9.140625" style="215"/>
    <col min="12544" max="12544" width="6.5703125" style="215" customWidth="1"/>
    <col min="12545" max="12545" width="9.7109375" style="215" customWidth="1"/>
    <col min="12546" max="12546" width="17" style="215" customWidth="1"/>
    <col min="12547" max="12547" width="20.140625" style="215" customWidth="1"/>
    <col min="12548" max="12548" width="12.5703125" style="215" customWidth="1"/>
    <col min="12549" max="12550" width="11.5703125" style="215" customWidth="1"/>
    <col min="12551" max="12551" width="10.28515625" style="215" customWidth="1"/>
    <col min="12552" max="12552" width="9.85546875" style="215" customWidth="1"/>
    <col min="12553" max="12553" width="8.140625" style="215" customWidth="1"/>
    <col min="12554" max="12554" width="9.42578125" style="215" bestFit="1" customWidth="1"/>
    <col min="12555" max="12556" width="10.7109375" style="215" customWidth="1"/>
    <col min="12557" max="12557" width="11.42578125" style="215" customWidth="1"/>
    <col min="12558" max="12558" width="10.7109375" style="215" customWidth="1"/>
    <col min="12559" max="12559" width="5.7109375" style="215" customWidth="1"/>
    <col min="12560" max="12560" width="10.7109375" style="215" customWidth="1"/>
    <col min="12561" max="12561" width="5.7109375" style="215" customWidth="1"/>
    <col min="12562" max="12562" width="11.42578125" style="215" customWidth="1"/>
    <col min="12563" max="12563" width="5.7109375" style="215" customWidth="1"/>
    <col min="12564" max="12564" width="10.140625" style="215" customWidth="1"/>
    <col min="12565" max="12565" width="11.5703125" style="215" bestFit="1" customWidth="1"/>
    <col min="12566" max="12799" width="9.140625" style="215"/>
    <col min="12800" max="12800" width="6.5703125" style="215" customWidth="1"/>
    <col min="12801" max="12801" width="9.7109375" style="215" customWidth="1"/>
    <col min="12802" max="12802" width="17" style="215" customWidth="1"/>
    <col min="12803" max="12803" width="20.140625" style="215" customWidth="1"/>
    <col min="12804" max="12804" width="12.5703125" style="215" customWidth="1"/>
    <col min="12805" max="12806" width="11.5703125" style="215" customWidth="1"/>
    <col min="12807" max="12807" width="10.28515625" style="215" customWidth="1"/>
    <col min="12808" max="12808" width="9.85546875" style="215" customWidth="1"/>
    <col min="12809" max="12809" width="8.140625" style="215" customWidth="1"/>
    <col min="12810" max="12810" width="9.42578125" style="215" bestFit="1" customWidth="1"/>
    <col min="12811" max="12812" width="10.7109375" style="215" customWidth="1"/>
    <col min="12813" max="12813" width="11.42578125" style="215" customWidth="1"/>
    <col min="12814" max="12814" width="10.7109375" style="215" customWidth="1"/>
    <col min="12815" max="12815" width="5.7109375" style="215" customWidth="1"/>
    <col min="12816" max="12816" width="10.7109375" style="215" customWidth="1"/>
    <col min="12817" max="12817" width="5.7109375" style="215" customWidth="1"/>
    <col min="12818" max="12818" width="11.42578125" style="215" customWidth="1"/>
    <col min="12819" max="12819" width="5.7109375" style="215" customWidth="1"/>
    <col min="12820" max="12820" width="10.140625" style="215" customWidth="1"/>
    <col min="12821" max="12821" width="11.5703125" style="215" bestFit="1" customWidth="1"/>
    <col min="12822" max="13055" width="9.140625" style="215"/>
    <col min="13056" max="13056" width="6.5703125" style="215" customWidth="1"/>
    <col min="13057" max="13057" width="9.7109375" style="215" customWidth="1"/>
    <col min="13058" max="13058" width="17" style="215" customWidth="1"/>
    <col min="13059" max="13059" width="20.140625" style="215" customWidth="1"/>
    <col min="13060" max="13060" width="12.5703125" style="215" customWidth="1"/>
    <col min="13061" max="13062" width="11.5703125" style="215" customWidth="1"/>
    <col min="13063" max="13063" width="10.28515625" style="215" customWidth="1"/>
    <col min="13064" max="13064" width="9.85546875" style="215" customWidth="1"/>
    <col min="13065" max="13065" width="8.140625" style="215" customWidth="1"/>
    <col min="13066" max="13066" width="9.42578125" style="215" bestFit="1" customWidth="1"/>
    <col min="13067" max="13068" width="10.7109375" style="215" customWidth="1"/>
    <col min="13069" max="13069" width="11.42578125" style="215" customWidth="1"/>
    <col min="13070" max="13070" width="10.7109375" style="215" customWidth="1"/>
    <col min="13071" max="13071" width="5.7109375" style="215" customWidth="1"/>
    <col min="13072" max="13072" width="10.7109375" style="215" customWidth="1"/>
    <col min="13073" max="13073" width="5.7109375" style="215" customWidth="1"/>
    <col min="13074" max="13074" width="11.42578125" style="215" customWidth="1"/>
    <col min="13075" max="13075" width="5.7109375" style="215" customWidth="1"/>
    <col min="13076" max="13076" width="10.140625" style="215" customWidth="1"/>
    <col min="13077" max="13077" width="11.5703125" style="215" bestFit="1" customWidth="1"/>
    <col min="13078" max="13311" width="9.140625" style="215"/>
    <col min="13312" max="13312" width="6.5703125" style="215" customWidth="1"/>
    <col min="13313" max="13313" width="9.7109375" style="215" customWidth="1"/>
    <col min="13314" max="13314" width="17" style="215" customWidth="1"/>
    <col min="13315" max="13315" width="20.140625" style="215" customWidth="1"/>
    <col min="13316" max="13316" width="12.5703125" style="215" customWidth="1"/>
    <col min="13317" max="13318" width="11.5703125" style="215" customWidth="1"/>
    <col min="13319" max="13319" width="10.28515625" style="215" customWidth="1"/>
    <col min="13320" max="13320" width="9.85546875" style="215" customWidth="1"/>
    <col min="13321" max="13321" width="8.140625" style="215" customWidth="1"/>
    <col min="13322" max="13322" width="9.42578125" style="215" bestFit="1" customWidth="1"/>
    <col min="13323" max="13324" width="10.7109375" style="215" customWidth="1"/>
    <col min="13325" max="13325" width="11.42578125" style="215" customWidth="1"/>
    <col min="13326" max="13326" width="10.7109375" style="215" customWidth="1"/>
    <col min="13327" max="13327" width="5.7109375" style="215" customWidth="1"/>
    <col min="13328" max="13328" width="10.7109375" style="215" customWidth="1"/>
    <col min="13329" max="13329" width="5.7109375" style="215" customWidth="1"/>
    <col min="13330" max="13330" width="11.42578125" style="215" customWidth="1"/>
    <col min="13331" max="13331" width="5.7109375" style="215" customWidth="1"/>
    <col min="13332" max="13332" width="10.140625" style="215" customWidth="1"/>
    <col min="13333" max="13333" width="11.5703125" style="215" bestFit="1" customWidth="1"/>
    <col min="13334" max="13567" width="9.140625" style="215"/>
    <col min="13568" max="13568" width="6.5703125" style="215" customWidth="1"/>
    <col min="13569" max="13569" width="9.7109375" style="215" customWidth="1"/>
    <col min="13570" max="13570" width="17" style="215" customWidth="1"/>
    <col min="13571" max="13571" width="20.140625" style="215" customWidth="1"/>
    <col min="13572" max="13572" width="12.5703125" style="215" customWidth="1"/>
    <col min="13573" max="13574" width="11.5703125" style="215" customWidth="1"/>
    <col min="13575" max="13575" width="10.28515625" style="215" customWidth="1"/>
    <col min="13576" max="13576" width="9.85546875" style="215" customWidth="1"/>
    <col min="13577" max="13577" width="8.140625" style="215" customWidth="1"/>
    <col min="13578" max="13578" width="9.42578125" style="215" bestFit="1" customWidth="1"/>
    <col min="13579" max="13580" width="10.7109375" style="215" customWidth="1"/>
    <col min="13581" max="13581" width="11.42578125" style="215" customWidth="1"/>
    <col min="13582" max="13582" width="10.7109375" style="215" customWidth="1"/>
    <col min="13583" max="13583" width="5.7109375" style="215" customWidth="1"/>
    <col min="13584" max="13584" width="10.7109375" style="215" customWidth="1"/>
    <col min="13585" max="13585" width="5.7109375" style="215" customWidth="1"/>
    <col min="13586" max="13586" width="11.42578125" style="215" customWidth="1"/>
    <col min="13587" max="13587" width="5.7109375" style="215" customWidth="1"/>
    <col min="13588" max="13588" width="10.140625" style="215" customWidth="1"/>
    <col min="13589" max="13589" width="11.5703125" style="215" bestFit="1" customWidth="1"/>
    <col min="13590" max="13823" width="9.140625" style="215"/>
    <col min="13824" max="13824" width="6.5703125" style="215" customWidth="1"/>
    <col min="13825" max="13825" width="9.7109375" style="215" customWidth="1"/>
    <col min="13826" max="13826" width="17" style="215" customWidth="1"/>
    <col min="13827" max="13827" width="20.140625" style="215" customWidth="1"/>
    <col min="13828" max="13828" width="12.5703125" style="215" customWidth="1"/>
    <col min="13829" max="13830" width="11.5703125" style="215" customWidth="1"/>
    <col min="13831" max="13831" width="10.28515625" style="215" customWidth="1"/>
    <col min="13832" max="13832" width="9.85546875" style="215" customWidth="1"/>
    <col min="13833" max="13833" width="8.140625" style="215" customWidth="1"/>
    <col min="13834" max="13834" width="9.42578125" style="215" bestFit="1" customWidth="1"/>
    <col min="13835" max="13836" width="10.7109375" style="215" customWidth="1"/>
    <col min="13837" max="13837" width="11.42578125" style="215" customWidth="1"/>
    <col min="13838" max="13838" width="10.7109375" style="215" customWidth="1"/>
    <col min="13839" max="13839" width="5.7109375" style="215" customWidth="1"/>
    <col min="13840" max="13840" width="10.7109375" style="215" customWidth="1"/>
    <col min="13841" max="13841" width="5.7109375" style="215" customWidth="1"/>
    <col min="13842" max="13842" width="11.42578125" style="215" customWidth="1"/>
    <col min="13843" max="13843" width="5.7109375" style="215" customWidth="1"/>
    <col min="13844" max="13844" width="10.140625" style="215" customWidth="1"/>
    <col min="13845" max="13845" width="11.5703125" style="215" bestFit="1" customWidth="1"/>
    <col min="13846" max="14079" width="9.140625" style="215"/>
    <col min="14080" max="14080" width="6.5703125" style="215" customWidth="1"/>
    <col min="14081" max="14081" width="9.7109375" style="215" customWidth="1"/>
    <col min="14082" max="14082" width="17" style="215" customWidth="1"/>
    <col min="14083" max="14083" width="20.140625" style="215" customWidth="1"/>
    <col min="14084" max="14084" width="12.5703125" style="215" customWidth="1"/>
    <col min="14085" max="14086" width="11.5703125" style="215" customWidth="1"/>
    <col min="14087" max="14087" width="10.28515625" style="215" customWidth="1"/>
    <col min="14088" max="14088" width="9.85546875" style="215" customWidth="1"/>
    <col min="14089" max="14089" width="8.140625" style="215" customWidth="1"/>
    <col min="14090" max="14090" width="9.42578125" style="215" bestFit="1" customWidth="1"/>
    <col min="14091" max="14092" width="10.7109375" style="215" customWidth="1"/>
    <col min="14093" max="14093" width="11.42578125" style="215" customWidth="1"/>
    <col min="14094" max="14094" width="10.7109375" style="215" customWidth="1"/>
    <col min="14095" max="14095" width="5.7109375" style="215" customWidth="1"/>
    <col min="14096" max="14096" width="10.7109375" style="215" customWidth="1"/>
    <col min="14097" max="14097" width="5.7109375" style="215" customWidth="1"/>
    <col min="14098" max="14098" width="11.42578125" style="215" customWidth="1"/>
    <col min="14099" max="14099" width="5.7109375" style="215" customWidth="1"/>
    <col min="14100" max="14100" width="10.140625" style="215" customWidth="1"/>
    <col min="14101" max="14101" width="11.5703125" style="215" bestFit="1" customWidth="1"/>
    <col min="14102" max="14335" width="9.140625" style="215"/>
    <col min="14336" max="14336" width="6.5703125" style="215" customWidth="1"/>
    <col min="14337" max="14337" width="9.7109375" style="215" customWidth="1"/>
    <col min="14338" max="14338" width="17" style="215" customWidth="1"/>
    <col min="14339" max="14339" width="20.140625" style="215" customWidth="1"/>
    <col min="14340" max="14340" width="12.5703125" style="215" customWidth="1"/>
    <col min="14341" max="14342" width="11.5703125" style="215" customWidth="1"/>
    <col min="14343" max="14343" width="10.28515625" style="215" customWidth="1"/>
    <col min="14344" max="14344" width="9.85546875" style="215" customWidth="1"/>
    <col min="14345" max="14345" width="8.140625" style="215" customWidth="1"/>
    <col min="14346" max="14346" width="9.42578125" style="215" bestFit="1" customWidth="1"/>
    <col min="14347" max="14348" width="10.7109375" style="215" customWidth="1"/>
    <col min="14349" max="14349" width="11.42578125" style="215" customWidth="1"/>
    <col min="14350" max="14350" width="10.7109375" style="215" customWidth="1"/>
    <col min="14351" max="14351" width="5.7109375" style="215" customWidth="1"/>
    <col min="14352" max="14352" width="10.7109375" style="215" customWidth="1"/>
    <col min="14353" max="14353" width="5.7109375" style="215" customWidth="1"/>
    <col min="14354" max="14354" width="11.42578125" style="215" customWidth="1"/>
    <col min="14355" max="14355" width="5.7109375" style="215" customWidth="1"/>
    <col min="14356" max="14356" width="10.140625" style="215" customWidth="1"/>
    <col min="14357" max="14357" width="11.5703125" style="215" bestFit="1" customWidth="1"/>
    <col min="14358" max="14591" width="9.140625" style="215"/>
    <col min="14592" max="14592" width="6.5703125" style="215" customWidth="1"/>
    <col min="14593" max="14593" width="9.7109375" style="215" customWidth="1"/>
    <col min="14594" max="14594" width="17" style="215" customWidth="1"/>
    <col min="14595" max="14595" width="20.140625" style="215" customWidth="1"/>
    <col min="14596" max="14596" width="12.5703125" style="215" customWidth="1"/>
    <col min="14597" max="14598" width="11.5703125" style="215" customWidth="1"/>
    <col min="14599" max="14599" width="10.28515625" style="215" customWidth="1"/>
    <col min="14600" max="14600" width="9.85546875" style="215" customWidth="1"/>
    <col min="14601" max="14601" width="8.140625" style="215" customWidth="1"/>
    <col min="14602" max="14602" width="9.42578125" style="215" bestFit="1" customWidth="1"/>
    <col min="14603" max="14604" width="10.7109375" style="215" customWidth="1"/>
    <col min="14605" max="14605" width="11.42578125" style="215" customWidth="1"/>
    <col min="14606" max="14606" width="10.7109375" style="215" customWidth="1"/>
    <col min="14607" max="14607" width="5.7109375" style="215" customWidth="1"/>
    <col min="14608" max="14608" width="10.7109375" style="215" customWidth="1"/>
    <col min="14609" max="14609" width="5.7109375" style="215" customWidth="1"/>
    <col min="14610" max="14610" width="11.42578125" style="215" customWidth="1"/>
    <col min="14611" max="14611" width="5.7109375" style="215" customWidth="1"/>
    <col min="14612" max="14612" width="10.140625" style="215" customWidth="1"/>
    <col min="14613" max="14613" width="11.5703125" style="215" bestFit="1" customWidth="1"/>
    <col min="14614" max="14847" width="9.140625" style="215"/>
    <col min="14848" max="14848" width="6.5703125" style="215" customWidth="1"/>
    <col min="14849" max="14849" width="9.7109375" style="215" customWidth="1"/>
    <col min="14850" max="14850" width="17" style="215" customWidth="1"/>
    <col min="14851" max="14851" width="20.140625" style="215" customWidth="1"/>
    <col min="14852" max="14852" width="12.5703125" style="215" customWidth="1"/>
    <col min="14853" max="14854" width="11.5703125" style="215" customWidth="1"/>
    <col min="14855" max="14855" width="10.28515625" style="215" customWidth="1"/>
    <col min="14856" max="14856" width="9.85546875" style="215" customWidth="1"/>
    <col min="14857" max="14857" width="8.140625" style="215" customWidth="1"/>
    <col min="14858" max="14858" width="9.42578125" style="215" bestFit="1" customWidth="1"/>
    <col min="14859" max="14860" width="10.7109375" style="215" customWidth="1"/>
    <col min="14861" max="14861" width="11.42578125" style="215" customWidth="1"/>
    <col min="14862" max="14862" width="10.7109375" style="215" customWidth="1"/>
    <col min="14863" max="14863" width="5.7109375" style="215" customWidth="1"/>
    <col min="14864" max="14864" width="10.7109375" style="215" customWidth="1"/>
    <col min="14865" max="14865" width="5.7109375" style="215" customWidth="1"/>
    <col min="14866" max="14866" width="11.42578125" style="215" customWidth="1"/>
    <col min="14867" max="14867" width="5.7109375" style="215" customWidth="1"/>
    <col min="14868" max="14868" width="10.140625" style="215" customWidth="1"/>
    <col min="14869" max="14869" width="11.5703125" style="215" bestFit="1" customWidth="1"/>
    <col min="14870" max="15103" width="9.140625" style="215"/>
    <col min="15104" max="15104" width="6.5703125" style="215" customWidth="1"/>
    <col min="15105" max="15105" width="9.7109375" style="215" customWidth="1"/>
    <col min="15106" max="15106" width="17" style="215" customWidth="1"/>
    <col min="15107" max="15107" width="20.140625" style="215" customWidth="1"/>
    <col min="15108" max="15108" width="12.5703125" style="215" customWidth="1"/>
    <col min="15109" max="15110" width="11.5703125" style="215" customWidth="1"/>
    <col min="15111" max="15111" width="10.28515625" style="215" customWidth="1"/>
    <col min="15112" max="15112" width="9.85546875" style="215" customWidth="1"/>
    <col min="15113" max="15113" width="8.140625" style="215" customWidth="1"/>
    <col min="15114" max="15114" width="9.42578125" style="215" bestFit="1" customWidth="1"/>
    <col min="15115" max="15116" width="10.7109375" style="215" customWidth="1"/>
    <col min="15117" max="15117" width="11.42578125" style="215" customWidth="1"/>
    <col min="15118" max="15118" width="10.7109375" style="215" customWidth="1"/>
    <col min="15119" max="15119" width="5.7109375" style="215" customWidth="1"/>
    <col min="15120" max="15120" width="10.7109375" style="215" customWidth="1"/>
    <col min="15121" max="15121" width="5.7109375" style="215" customWidth="1"/>
    <col min="15122" max="15122" width="11.42578125" style="215" customWidth="1"/>
    <col min="15123" max="15123" width="5.7109375" style="215" customWidth="1"/>
    <col min="15124" max="15124" width="10.140625" style="215" customWidth="1"/>
    <col min="15125" max="15125" width="11.5703125" style="215" bestFit="1" customWidth="1"/>
    <col min="15126" max="15359" width="9.140625" style="215"/>
    <col min="15360" max="15360" width="6.5703125" style="215" customWidth="1"/>
    <col min="15361" max="15361" width="9.7109375" style="215" customWidth="1"/>
    <col min="15362" max="15362" width="17" style="215" customWidth="1"/>
    <col min="15363" max="15363" width="20.140625" style="215" customWidth="1"/>
    <col min="15364" max="15364" width="12.5703125" style="215" customWidth="1"/>
    <col min="15365" max="15366" width="11.5703125" style="215" customWidth="1"/>
    <col min="15367" max="15367" width="10.28515625" style="215" customWidth="1"/>
    <col min="15368" max="15368" width="9.85546875" style="215" customWidth="1"/>
    <col min="15369" max="15369" width="8.140625" style="215" customWidth="1"/>
    <col min="15370" max="15370" width="9.42578125" style="215" bestFit="1" customWidth="1"/>
    <col min="15371" max="15372" width="10.7109375" style="215" customWidth="1"/>
    <col min="15373" max="15373" width="11.42578125" style="215" customWidth="1"/>
    <col min="15374" max="15374" width="10.7109375" style="215" customWidth="1"/>
    <col min="15375" max="15375" width="5.7109375" style="215" customWidth="1"/>
    <col min="15376" max="15376" width="10.7109375" style="215" customWidth="1"/>
    <col min="15377" max="15377" width="5.7109375" style="215" customWidth="1"/>
    <col min="15378" max="15378" width="11.42578125" style="215" customWidth="1"/>
    <col min="15379" max="15379" width="5.7109375" style="215" customWidth="1"/>
    <col min="15380" max="15380" width="10.140625" style="215" customWidth="1"/>
    <col min="15381" max="15381" width="11.5703125" style="215" bestFit="1" customWidth="1"/>
    <col min="15382" max="15615" width="9.140625" style="215"/>
    <col min="15616" max="15616" width="6.5703125" style="215" customWidth="1"/>
    <col min="15617" max="15617" width="9.7109375" style="215" customWidth="1"/>
    <col min="15618" max="15618" width="17" style="215" customWidth="1"/>
    <col min="15619" max="15619" width="20.140625" style="215" customWidth="1"/>
    <col min="15620" max="15620" width="12.5703125" style="215" customWidth="1"/>
    <col min="15621" max="15622" width="11.5703125" style="215" customWidth="1"/>
    <col min="15623" max="15623" width="10.28515625" style="215" customWidth="1"/>
    <col min="15624" max="15624" width="9.85546875" style="215" customWidth="1"/>
    <col min="15625" max="15625" width="8.140625" style="215" customWidth="1"/>
    <col min="15626" max="15626" width="9.42578125" style="215" bestFit="1" customWidth="1"/>
    <col min="15627" max="15628" width="10.7109375" style="215" customWidth="1"/>
    <col min="15629" max="15629" width="11.42578125" style="215" customWidth="1"/>
    <col min="15630" max="15630" width="10.7109375" style="215" customWidth="1"/>
    <col min="15631" max="15631" width="5.7109375" style="215" customWidth="1"/>
    <col min="15632" max="15632" width="10.7109375" style="215" customWidth="1"/>
    <col min="15633" max="15633" width="5.7109375" style="215" customWidth="1"/>
    <col min="15634" max="15634" width="11.42578125" style="215" customWidth="1"/>
    <col min="15635" max="15635" width="5.7109375" style="215" customWidth="1"/>
    <col min="15636" max="15636" width="10.140625" style="215" customWidth="1"/>
    <col min="15637" max="15637" width="11.5703125" style="215" bestFit="1" customWidth="1"/>
    <col min="15638" max="15871" width="9.140625" style="215"/>
    <col min="15872" max="15872" width="6.5703125" style="215" customWidth="1"/>
    <col min="15873" max="15873" width="9.7109375" style="215" customWidth="1"/>
    <col min="15874" max="15874" width="17" style="215" customWidth="1"/>
    <col min="15875" max="15875" width="20.140625" style="215" customWidth="1"/>
    <col min="15876" max="15876" width="12.5703125" style="215" customWidth="1"/>
    <col min="15877" max="15878" width="11.5703125" style="215" customWidth="1"/>
    <col min="15879" max="15879" width="10.28515625" style="215" customWidth="1"/>
    <col min="15880" max="15880" width="9.85546875" style="215" customWidth="1"/>
    <col min="15881" max="15881" width="8.140625" style="215" customWidth="1"/>
    <col min="15882" max="15882" width="9.42578125" style="215" bestFit="1" customWidth="1"/>
    <col min="15883" max="15884" width="10.7109375" style="215" customWidth="1"/>
    <col min="15885" max="15885" width="11.42578125" style="215" customWidth="1"/>
    <col min="15886" max="15886" width="10.7109375" style="215" customWidth="1"/>
    <col min="15887" max="15887" width="5.7109375" style="215" customWidth="1"/>
    <col min="15888" max="15888" width="10.7109375" style="215" customWidth="1"/>
    <col min="15889" max="15889" width="5.7109375" style="215" customWidth="1"/>
    <col min="15890" max="15890" width="11.42578125" style="215" customWidth="1"/>
    <col min="15891" max="15891" width="5.7109375" style="215" customWidth="1"/>
    <col min="15892" max="15892" width="10.140625" style="215" customWidth="1"/>
    <col min="15893" max="15893" width="11.5703125" style="215" bestFit="1" customWidth="1"/>
    <col min="15894" max="16127" width="9.140625" style="215"/>
    <col min="16128" max="16128" width="6.5703125" style="215" customWidth="1"/>
    <col min="16129" max="16129" width="9.7109375" style="215" customWidth="1"/>
    <col min="16130" max="16130" width="17" style="215" customWidth="1"/>
    <col min="16131" max="16131" width="20.140625" style="215" customWidth="1"/>
    <col min="16132" max="16132" width="12.5703125" style="215" customWidth="1"/>
    <col min="16133" max="16134" width="11.5703125" style="215" customWidth="1"/>
    <col min="16135" max="16135" width="10.28515625" style="215" customWidth="1"/>
    <col min="16136" max="16136" width="9.85546875" style="215" customWidth="1"/>
    <col min="16137" max="16137" width="8.140625" style="215" customWidth="1"/>
    <col min="16138" max="16138" width="9.42578125" style="215" bestFit="1" customWidth="1"/>
    <col min="16139" max="16140" width="10.7109375" style="215" customWidth="1"/>
    <col min="16141" max="16141" width="11.42578125" style="215" customWidth="1"/>
    <col min="16142" max="16142" width="10.7109375" style="215" customWidth="1"/>
    <col min="16143" max="16143" width="5.7109375" style="215" customWidth="1"/>
    <col min="16144" max="16144" width="10.7109375" style="215" customWidth="1"/>
    <col min="16145" max="16145" width="5.7109375" style="215" customWidth="1"/>
    <col min="16146" max="16146" width="11.42578125" style="215" customWidth="1"/>
    <col min="16147" max="16147" width="5.7109375" style="215" customWidth="1"/>
    <col min="16148" max="16148" width="10.140625" style="215" customWidth="1"/>
    <col min="16149" max="16149" width="11.5703125" style="215" bestFit="1" customWidth="1"/>
    <col min="16150" max="16384" width="9.140625" style="215"/>
  </cols>
  <sheetData>
    <row r="1" spans="1:22" ht="20.25" x14ac:dyDescent="0.3">
      <c r="A1" s="417" t="s">
        <v>180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</row>
    <row r="2" spans="1:22" ht="20.25" x14ac:dyDescent="0.3">
      <c r="A2" s="416" t="s">
        <v>0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</row>
    <row r="3" spans="1:22" ht="20.25" x14ac:dyDescent="0.3">
      <c r="A3" s="416" t="s">
        <v>181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</row>
    <row r="4" spans="1:22" ht="20.25" x14ac:dyDescent="0.3">
      <c r="A4" s="416" t="s">
        <v>83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</row>
    <row r="5" spans="1:22" ht="20.25" x14ac:dyDescent="0.3">
      <c r="A5" s="423" t="s">
        <v>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</row>
    <row r="6" spans="1:22" x14ac:dyDescent="0.2">
      <c r="N6" s="217"/>
    </row>
    <row r="7" spans="1:22" x14ac:dyDescent="0.2">
      <c r="A7" s="218"/>
      <c r="B7" s="218"/>
      <c r="C7" s="218"/>
      <c r="D7" s="218"/>
      <c r="E7" s="218"/>
      <c r="F7" s="219"/>
      <c r="G7" s="219"/>
      <c r="H7" s="418" t="s">
        <v>86</v>
      </c>
      <c r="I7" s="419"/>
      <c r="J7" s="418" t="s">
        <v>3</v>
      </c>
      <c r="K7" s="419"/>
      <c r="L7" s="220">
        <v>2013</v>
      </c>
      <c r="M7" s="221">
        <v>2014</v>
      </c>
      <c r="O7" s="420" t="s">
        <v>182</v>
      </c>
      <c r="P7" s="421"/>
      <c r="Q7" s="421"/>
      <c r="R7" s="421"/>
      <c r="S7" s="421"/>
      <c r="T7" s="422"/>
      <c r="U7" s="420" t="s">
        <v>5</v>
      </c>
      <c r="V7" s="422"/>
    </row>
    <row r="8" spans="1:22" ht="51" x14ac:dyDescent="0.2">
      <c r="A8" s="222" t="s">
        <v>6</v>
      </c>
      <c r="B8" s="222" t="s">
        <v>87</v>
      </c>
      <c r="C8" s="222" t="s">
        <v>88</v>
      </c>
      <c r="D8" s="223" t="s">
        <v>7</v>
      </c>
      <c r="E8" s="224" t="s">
        <v>67</v>
      </c>
      <c r="F8" s="225" t="s">
        <v>183</v>
      </c>
      <c r="G8" s="226" t="s">
        <v>184</v>
      </c>
      <c r="H8" s="227" t="s">
        <v>86</v>
      </c>
      <c r="I8" s="228" t="s">
        <v>185</v>
      </c>
      <c r="J8" s="224" t="s">
        <v>186</v>
      </c>
      <c r="K8" s="224" t="s">
        <v>187</v>
      </c>
      <c r="L8" s="224" t="s">
        <v>188</v>
      </c>
      <c r="M8" s="224" t="s">
        <v>189</v>
      </c>
      <c r="N8" s="229" t="s">
        <v>9</v>
      </c>
      <c r="O8" s="223" t="s">
        <v>190</v>
      </c>
      <c r="P8" s="230" t="s">
        <v>101</v>
      </c>
      <c r="Q8" s="231" t="s">
        <v>191</v>
      </c>
      <c r="R8" s="230" t="s">
        <v>101</v>
      </c>
      <c r="S8" s="232" t="s">
        <v>192</v>
      </c>
      <c r="T8" s="233" t="s">
        <v>101</v>
      </c>
      <c r="U8" s="231" t="s">
        <v>13</v>
      </c>
      <c r="V8" s="231" t="s">
        <v>14</v>
      </c>
    </row>
    <row r="9" spans="1:22" x14ac:dyDescent="0.2">
      <c r="A9" s="234" t="s">
        <v>193</v>
      </c>
      <c r="B9" s="234" t="s">
        <v>194</v>
      </c>
      <c r="C9" s="235" t="s">
        <v>304</v>
      </c>
      <c r="D9" s="236" t="s">
        <v>195</v>
      </c>
      <c r="E9" s="237"/>
      <c r="F9" s="238">
        <v>44583</v>
      </c>
      <c r="G9" s="239">
        <f>F9 +(F9*0.03)</f>
        <v>45920.49</v>
      </c>
      <c r="H9" s="240">
        <f t="shared" ref="H9:I24" si="0">F9/26/80</f>
        <v>21.434134615384615</v>
      </c>
      <c r="I9" s="241">
        <f t="shared" si="0"/>
        <v>22.077158653846151</v>
      </c>
      <c r="J9" s="242">
        <v>696</v>
      </c>
      <c r="K9" s="243">
        <v>1384</v>
      </c>
      <c r="L9" s="244">
        <f t="shared" ref="L9:M24" si="1">H9*J9</f>
        <v>14918.157692307692</v>
      </c>
      <c r="M9" s="245">
        <f t="shared" si="1"/>
        <v>30554.787576923074</v>
      </c>
      <c r="N9" s="245">
        <f t="shared" ref="N9:N24" si="2">SUM(L9:M9)</f>
        <v>45472.945269230768</v>
      </c>
      <c r="O9" s="239">
        <f t="shared" ref="O9:O23" si="3">N9*P9</f>
        <v>0</v>
      </c>
      <c r="P9" s="246">
        <v>0</v>
      </c>
      <c r="Q9" s="239">
        <f t="shared" ref="Q9:Q23" si="4">N9*R9</f>
        <v>0</v>
      </c>
      <c r="R9" s="246">
        <v>0</v>
      </c>
      <c r="S9" s="247">
        <f t="shared" ref="S9:S24" si="5">N9*T9</f>
        <v>45472.945269230768</v>
      </c>
      <c r="T9" s="245">
        <v>1</v>
      </c>
      <c r="U9" s="248">
        <f>347*12*T9</f>
        <v>4164</v>
      </c>
      <c r="V9" s="245">
        <f t="shared" ref="V9:V24" si="6">27*T9</f>
        <v>27</v>
      </c>
    </row>
    <row r="10" spans="1:22" x14ac:dyDescent="0.2">
      <c r="A10" s="249" t="s">
        <v>108</v>
      </c>
      <c r="B10" s="249" t="s">
        <v>196</v>
      </c>
      <c r="C10" s="250" t="s">
        <v>304</v>
      </c>
      <c r="D10" s="251" t="s">
        <v>197</v>
      </c>
      <c r="E10" s="252"/>
      <c r="F10" s="238">
        <v>41280</v>
      </c>
      <c r="G10" s="239">
        <f t="shared" ref="G10:G24" si="7">F10 +(F10*0.03)</f>
        <v>42518.400000000001</v>
      </c>
      <c r="H10" s="240">
        <f t="shared" si="0"/>
        <v>19.846153846153847</v>
      </c>
      <c r="I10" s="241">
        <f t="shared" si="0"/>
        <v>20.441538461538464</v>
      </c>
      <c r="J10" s="242">
        <v>696</v>
      </c>
      <c r="K10" s="243">
        <v>1384</v>
      </c>
      <c r="L10" s="244">
        <f t="shared" si="1"/>
        <v>13812.923076923078</v>
      </c>
      <c r="M10" s="245">
        <f t="shared" si="1"/>
        <v>28291.089230769234</v>
      </c>
      <c r="N10" s="245">
        <f t="shared" si="2"/>
        <v>42104.012307692312</v>
      </c>
      <c r="O10" s="239">
        <f t="shared" si="3"/>
        <v>0</v>
      </c>
      <c r="P10" s="246">
        <v>0</v>
      </c>
      <c r="Q10" s="239">
        <f t="shared" si="4"/>
        <v>2947.280861538462</v>
      </c>
      <c r="R10" s="246">
        <v>7.0000000000000007E-2</v>
      </c>
      <c r="S10" s="247">
        <f t="shared" si="5"/>
        <v>39156.731446153855</v>
      </c>
      <c r="T10" s="245">
        <v>0.93</v>
      </c>
      <c r="U10" s="248">
        <f>(347*12)*T10</f>
        <v>3872.52</v>
      </c>
      <c r="V10" s="245">
        <f t="shared" si="6"/>
        <v>25.110000000000003</v>
      </c>
    </row>
    <row r="11" spans="1:22" x14ac:dyDescent="0.2">
      <c r="A11" s="249" t="s">
        <v>198</v>
      </c>
      <c r="B11" s="249" t="s">
        <v>199</v>
      </c>
      <c r="C11" s="250" t="s">
        <v>304</v>
      </c>
      <c r="D11" s="251" t="s">
        <v>200</v>
      </c>
      <c r="E11" s="253"/>
      <c r="F11" s="238">
        <v>30062</v>
      </c>
      <c r="G11" s="239">
        <f t="shared" si="7"/>
        <v>30963.86</v>
      </c>
      <c r="H11" s="240">
        <f t="shared" si="0"/>
        <v>14.452884615384615</v>
      </c>
      <c r="I11" s="241">
        <f t="shared" si="0"/>
        <v>14.886471153846154</v>
      </c>
      <c r="J11" s="242">
        <v>696</v>
      </c>
      <c r="K11" s="243">
        <v>1384</v>
      </c>
      <c r="L11" s="244">
        <f t="shared" si="1"/>
        <v>10059.207692307693</v>
      </c>
      <c r="M11" s="245">
        <f t="shared" si="1"/>
        <v>20602.876076923076</v>
      </c>
      <c r="N11" s="245">
        <f t="shared" si="2"/>
        <v>30662.083769230769</v>
      </c>
      <c r="O11" s="239">
        <f t="shared" si="3"/>
        <v>0</v>
      </c>
      <c r="P11" s="246">
        <v>0</v>
      </c>
      <c r="Q11" s="239">
        <f t="shared" si="4"/>
        <v>0</v>
      </c>
      <c r="R11" s="246">
        <v>0</v>
      </c>
      <c r="S11" s="247">
        <f t="shared" si="5"/>
        <v>30662.083769230769</v>
      </c>
      <c r="T11" s="245">
        <v>1</v>
      </c>
      <c r="U11" s="248">
        <f>347*12*T11</f>
        <v>4164</v>
      </c>
      <c r="V11" s="245">
        <f t="shared" si="6"/>
        <v>27</v>
      </c>
    </row>
    <row r="12" spans="1:22" x14ac:dyDescent="0.2">
      <c r="A12" s="249" t="s">
        <v>201</v>
      </c>
      <c r="B12" s="249" t="s">
        <v>202</v>
      </c>
      <c r="C12" s="250" t="s">
        <v>304</v>
      </c>
      <c r="D12" s="251" t="s">
        <v>200</v>
      </c>
      <c r="E12" s="253"/>
      <c r="F12" s="238">
        <v>30233</v>
      </c>
      <c r="G12" s="239">
        <f t="shared" si="7"/>
        <v>31139.99</v>
      </c>
      <c r="H12" s="240">
        <f t="shared" si="0"/>
        <v>14.535096153846155</v>
      </c>
      <c r="I12" s="241">
        <f t="shared" si="0"/>
        <v>14.971149038461538</v>
      </c>
      <c r="J12" s="242">
        <v>696</v>
      </c>
      <c r="K12" s="243">
        <v>1384</v>
      </c>
      <c r="L12" s="244">
        <f t="shared" si="1"/>
        <v>10116.426923076924</v>
      </c>
      <c r="M12" s="245">
        <f t="shared" si="1"/>
        <v>20720.070269230768</v>
      </c>
      <c r="N12" s="245">
        <f t="shared" si="2"/>
        <v>30836.497192307692</v>
      </c>
      <c r="O12" s="239">
        <f t="shared" si="3"/>
        <v>0</v>
      </c>
      <c r="P12" s="246">
        <v>0</v>
      </c>
      <c r="Q12" s="239">
        <f t="shared" si="4"/>
        <v>0</v>
      </c>
      <c r="R12" s="246">
        <v>0</v>
      </c>
      <c r="S12" s="247">
        <f t="shared" si="5"/>
        <v>30836.497192307692</v>
      </c>
      <c r="T12" s="245">
        <v>1</v>
      </c>
      <c r="U12" s="248">
        <f>347*12*T12</f>
        <v>4164</v>
      </c>
      <c r="V12" s="245">
        <f t="shared" si="6"/>
        <v>27</v>
      </c>
    </row>
    <row r="13" spans="1:22" x14ac:dyDescent="0.2">
      <c r="A13" s="249" t="s">
        <v>203</v>
      </c>
      <c r="B13" s="249" t="s">
        <v>204</v>
      </c>
      <c r="C13" s="250" t="s">
        <v>304</v>
      </c>
      <c r="D13" s="251" t="s">
        <v>200</v>
      </c>
      <c r="E13" s="253"/>
      <c r="F13" s="238">
        <v>30233</v>
      </c>
      <c r="G13" s="239">
        <f t="shared" si="7"/>
        <v>31139.99</v>
      </c>
      <c r="H13" s="240">
        <f t="shared" si="0"/>
        <v>14.535096153846155</v>
      </c>
      <c r="I13" s="241">
        <f t="shared" si="0"/>
        <v>14.971149038461538</v>
      </c>
      <c r="J13" s="242">
        <v>696</v>
      </c>
      <c r="K13" s="243">
        <v>1384</v>
      </c>
      <c r="L13" s="244">
        <f t="shared" si="1"/>
        <v>10116.426923076924</v>
      </c>
      <c r="M13" s="245">
        <f t="shared" si="1"/>
        <v>20720.070269230768</v>
      </c>
      <c r="N13" s="245">
        <f t="shared" si="2"/>
        <v>30836.497192307692</v>
      </c>
      <c r="O13" s="239">
        <f t="shared" si="3"/>
        <v>0</v>
      </c>
      <c r="P13" s="246">
        <v>0</v>
      </c>
      <c r="Q13" s="239">
        <f t="shared" si="4"/>
        <v>0</v>
      </c>
      <c r="R13" s="246">
        <v>0</v>
      </c>
      <c r="S13" s="247">
        <f t="shared" si="5"/>
        <v>30836.497192307692</v>
      </c>
      <c r="T13" s="245">
        <v>1</v>
      </c>
      <c r="U13" s="248">
        <f>347*12*T13</f>
        <v>4164</v>
      </c>
      <c r="V13" s="245">
        <f t="shared" si="6"/>
        <v>27</v>
      </c>
    </row>
    <row r="14" spans="1:22" x14ac:dyDescent="0.2">
      <c r="A14" s="249" t="s">
        <v>116</v>
      </c>
      <c r="B14" s="249" t="s">
        <v>205</v>
      </c>
      <c r="C14" s="250" t="s">
        <v>304</v>
      </c>
      <c r="D14" s="251" t="s">
        <v>206</v>
      </c>
      <c r="E14" s="253"/>
      <c r="F14" s="238">
        <v>44795</v>
      </c>
      <c r="G14" s="239">
        <f t="shared" si="7"/>
        <v>46138.85</v>
      </c>
      <c r="H14" s="240">
        <f t="shared" si="0"/>
        <v>21.536057692307693</v>
      </c>
      <c r="I14" s="241">
        <f t="shared" si="0"/>
        <v>22.182139423076922</v>
      </c>
      <c r="J14" s="242">
        <v>696</v>
      </c>
      <c r="K14" s="243">
        <v>1384</v>
      </c>
      <c r="L14" s="244">
        <f t="shared" si="1"/>
        <v>14989.096153846154</v>
      </c>
      <c r="M14" s="245">
        <f t="shared" si="1"/>
        <v>30700.080961538461</v>
      </c>
      <c r="N14" s="245">
        <f t="shared" si="2"/>
        <v>45689.177115384613</v>
      </c>
      <c r="O14" s="239">
        <f t="shared" si="3"/>
        <v>14620.536676923077</v>
      </c>
      <c r="P14" s="246">
        <v>0.32</v>
      </c>
      <c r="Q14" s="239">
        <f t="shared" si="4"/>
        <v>1370.6753134615383</v>
      </c>
      <c r="R14" s="246">
        <v>0.03</v>
      </c>
      <c r="S14" s="247">
        <f t="shared" si="5"/>
        <v>29697.965124999999</v>
      </c>
      <c r="T14" s="245">
        <v>0.65</v>
      </c>
      <c r="U14" s="248">
        <f t="shared" ref="U14:U20" si="8">(347*12)*T14</f>
        <v>2706.6</v>
      </c>
      <c r="V14" s="245">
        <f t="shared" si="6"/>
        <v>17.55</v>
      </c>
    </row>
    <row r="15" spans="1:22" x14ac:dyDescent="0.2">
      <c r="A15" s="249" t="s">
        <v>169</v>
      </c>
      <c r="B15" s="249" t="s">
        <v>207</v>
      </c>
      <c r="C15" s="254" t="s">
        <v>304</v>
      </c>
      <c r="D15" s="251" t="s">
        <v>206</v>
      </c>
      <c r="E15" s="253"/>
      <c r="F15" s="238">
        <v>41280</v>
      </c>
      <c r="G15" s="239">
        <f t="shared" si="7"/>
        <v>42518.400000000001</v>
      </c>
      <c r="H15" s="240">
        <f t="shared" si="0"/>
        <v>19.846153846153847</v>
      </c>
      <c r="I15" s="241">
        <f t="shared" si="0"/>
        <v>20.441538461538464</v>
      </c>
      <c r="J15" s="242">
        <v>696</v>
      </c>
      <c r="K15" s="243">
        <v>1384</v>
      </c>
      <c r="L15" s="244">
        <f t="shared" si="1"/>
        <v>13812.923076923078</v>
      </c>
      <c r="M15" s="245">
        <f t="shared" si="1"/>
        <v>28291.089230769234</v>
      </c>
      <c r="N15" s="245">
        <f t="shared" si="2"/>
        <v>42104.012307692312</v>
      </c>
      <c r="O15" s="239">
        <f>N15*P15</f>
        <v>10947.043200000002</v>
      </c>
      <c r="P15" s="246">
        <v>0.26</v>
      </c>
      <c r="Q15" s="239">
        <f t="shared" si="4"/>
        <v>1684.1604923076925</v>
      </c>
      <c r="R15" s="246">
        <v>0.04</v>
      </c>
      <c r="S15" s="247">
        <f t="shared" si="5"/>
        <v>29472.808615384616</v>
      </c>
      <c r="T15" s="245">
        <v>0.7</v>
      </c>
      <c r="U15" s="248">
        <f t="shared" si="8"/>
        <v>2914.7999999999997</v>
      </c>
      <c r="V15" s="245">
        <f t="shared" si="6"/>
        <v>18.899999999999999</v>
      </c>
    </row>
    <row r="16" spans="1:22" x14ac:dyDescent="0.2">
      <c r="A16" s="249" t="s">
        <v>120</v>
      </c>
      <c r="B16" s="249" t="s">
        <v>208</v>
      </c>
      <c r="C16" s="250" t="s">
        <v>304</v>
      </c>
      <c r="D16" s="251" t="s">
        <v>206</v>
      </c>
      <c r="E16" s="253"/>
      <c r="F16" s="238">
        <v>44795</v>
      </c>
      <c r="G16" s="239">
        <f t="shared" si="7"/>
        <v>46138.85</v>
      </c>
      <c r="H16" s="240">
        <f t="shared" si="0"/>
        <v>21.536057692307693</v>
      </c>
      <c r="I16" s="241">
        <f t="shared" si="0"/>
        <v>22.182139423076922</v>
      </c>
      <c r="J16" s="242">
        <v>696</v>
      </c>
      <c r="K16" s="243">
        <v>1384</v>
      </c>
      <c r="L16" s="244">
        <f t="shared" si="1"/>
        <v>14989.096153846154</v>
      </c>
      <c r="M16" s="245">
        <f t="shared" si="1"/>
        <v>30700.080961538461</v>
      </c>
      <c r="N16" s="245">
        <f t="shared" si="2"/>
        <v>45689.177115384613</v>
      </c>
      <c r="O16" s="239">
        <f t="shared" si="3"/>
        <v>14620.536676923077</v>
      </c>
      <c r="P16" s="246">
        <v>0.32</v>
      </c>
      <c r="Q16" s="239">
        <f t="shared" si="4"/>
        <v>1370.6753134615383</v>
      </c>
      <c r="R16" s="246">
        <v>0.03</v>
      </c>
      <c r="S16" s="247">
        <f t="shared" si="5"/>
        <v>29697.965124999999</v>
      </c>
      <c r="T16" s="245">
        <v>0.65</v>
      </c>
      <c r="U16" s="248">
        <f t="shared" si="8"/>
        <v>2706.6</v>
      </c>
      <c r="V16" s="245">
        <f t="shared" si="6"/>
        <v>17.55</v>
      </c>
    </row>
    <row r="17" spans="1:22" x14ac:dyDescent="0.2">
      <c r="A17" s="249" t="s">
        <v>128</v>
      </c>
      <c r="B17" s="249" t="s">
        <v>209</v>
      </c>
      <c r="C17" s="254" t="s">
        <v>304</v>
      </c>
      <c r="D17" s="251" t="s">
        <v>210</v>
      </c>
      <c r="E17" s="253"/>
      <c r="F17" s="238">
        <v>30062</v>
      </c>
      <c r="G17" s="239">
        <f t="shared" si="7"/>
        <v>30963.86</v>
      </c>
      <c r="H17" s="240">
        <f t="shared" si="0"/>
        <v>14.452884615384615</v>
      </c>
      <c r="I17" s="241">
        <f t="shared" si="0"/>
        <v>14.886471153846154</v>
      </c>
      <c r="J17" s="242">
        <v>696</v>
      </c>
      <c r="K17" s="243">
        <v>1384</v>
      </c>
      <c r="L17" s="244">
        <f t="shared" si="1"/>
        <v>10059.207692307693</v>
      </c>
      <c r="M17" s="245">
        <f t="shared" si="1"/>
        <v>20602.876076923076</v>
      </c>
      <c r="N17" s="245">
        <f t="shared" si="2"/>
        <v>30662.083769230769</v>
      </c>
      <c r="O17" s="239">
        <f t="shared" si="3"/>
        <v>1839.7250261538461</v>
      </c>
      <c r="P17" s="246">
        <v>0.06</v>
      </c>
      <c r="Q17" s="239">
        <f t="shared" si="4"/>
        <v>0</v>
      </c>
      <c r="R17" s="246">
        <v>0</v>
      </c>
      <c r="S17" s="247">
        <f t="shared" si="5"/>
        <v>28822.358743076922</v>
      </c>
      <c r="T17" s="245">
        <v>0.94</v>
      </c>
      <c r="U17" s="248">
        <f t="shared" si="8"/>
        <v>3914.16</v>
      </c>
      <c r="V17" s="245">
        <f t="shared" si="6"/>
        <v>25.38</v>
      </c>
    </row>
    <row r="18" spans="1:22" x14ac:dyDescent="0.2">
      <c r="A18" s="249" t="s">
        <v>174</v>
      </c>
      <c r="B18" s="215" t="s">
        <v>211</v>
      </c>
      <c r="C18" s="255" t="s">
        <v>304</v>
      </c>
      <c r="D18" s="251" t="s">
        <v>210</v>
      </c>
      <c r="E18" s="253"/>
      <c r="F18" s="256">
        <v>30062</v>
      </c>
      <c r="G18" s="239">
        <f t="shared" si="7"/>
        <v>30963.86</v>
      </c>
      <c r="H18" s="240">
        <f t="shared" si="0"/>
        <v>14.452884615384615</v>
      </c>
      <c r="I18" s="241">
        <f t="shared" si="0"/>
        <v>14.886471153846154</v>
      </c>
      <c r="J18" s="242">
        <v>696</v>
      </c>
      <c r="K18" s="243">
        <v>1384</v>
      </c>
      <c r="L18" s="244">
        <f t="shared" si="1"/>
        <v>10059.207692307693</v>
      </c>
      <c r="M18" s="245">
        <f t="shared" si="1"/>
        <v>20602.876076923076</v>
      </c>
      <c r="N18" s="245">
        <f t="shared" si="2"/>
        <v>30662.083769230769</v>
      </c>
      <c r="O18" s="239">
        <f t="shared" si="3"/>
        <v>1839.7250261538461</v>
      </c>
      <c r="P18" s="246">
        <v>0.06</v>
      </c>
      <c r="Q18" s="239">
        <f t="shared" si="4"/>
        <v>0</v>
      </c>
      <c r="R18" s="246">
        <v>0</v>
      </c>
      <c r="S18" s="247">
        <f t="shared" si="5"/>
        <v>28822.358743076922</v>
      </c>
      <c r="T18" s="245">
        <v>0.94</v>
      </c>
      <c r="U18" s="248">
        <f t="shared" si="8"/>
        <v>3914.16</v>
      </c>
      <c r="V18" s="245">
        <f t="shared" si="6"/>
        <v>25.38</v>
      </c>
    </row>
    <row r="19" spans="1:22" x14ac:dyDescent="0.2">
      <c r="A19" s="249" t="s">
        <v>212</v>
      </c>
      <c r="B19" s="215" t="s">
        <v>213</v>
      </c>
      <c r="C19" s="255" t="s">
        <v>304</v>
      </c>
      <c r="D19" s="251" t="s">
        <v>210</v>
      </c>
      <c r="E19" s="253"/>
      <c r="F19" s="256">
        <v>30062</v>
      </c>
      <c r="G19" s="239">
        <f t="shared" si="7"/>
        <v>30963.86</v>
      </c>
      <c r="H19" s="240">
        <f t="shared" si="0"/>
        <v>14.452884615384615</v>
      </c>
      <c r="I19" s="241">
        <f t="shared" si="0"/>
        <v>14.886471153846154</v>
      </c>
      <c r="J19" s="242">
        <v>696</v>
      </c>
      <c r="K19" s="243">
        <v>1384</v>
      </c>
      <c r="L19" s="244">
        <f t="shared" si="1"/>
        <v>10059.207692307693</v>
      </c>
      <c r="M19" s="245">
        <f t="shared" si="1"/>
        <v>20602.876076923076</v>
      </c>
      <c r="N19" s="245">
        <f t="shared" si="2"/>
        <v>30662.083769230769</v>
      </c>
      <c r="O19" s="239">
        <f t="shared" si="3"/>
        <v>919.86251307692305</v>
      </c>
      <c r="P19" s="246">
        <v>0.03</v>
      </c>
      <c r="Q19" s="239">
        <f t="shared" si="4"/>
        <v>919.86251307692305</v>
      </c>
      <c r="R19" s="246">
        <v>0.03</v>
      </c>
      <c r="S19" s="247">
        <f t="shared" si="5"/>
        <v>28822.358743076922</v>
      </c>
      <c r="T19" s="245">
        <v>0.94</v>
      </c>
      <c r="U19" s="248">
        <f t="shared" si="8"/>
        <v>3914.16</v>
      </c>
      <c r="V19" s="245">
        <f t="shared" si="6"/>
        <v>25.38</v>
      </c>
    </row>
    <row r="20" spans="1:22" x14ac:dyDescent="0.2">
      <c r="A20" s="249" t="s">
        <v>214</v>
      </c>
      <c r="B20" s="249" t="s">
        <v>215</v>
      </c>
      <c r="C20" s="250" t="s">
        <v>304</v>
      </c>
      <c r="D20" s="251" t="s">
        <v>210</v>
      </c>
      <c r="E20" s="253"/>
      <c r="F20" s="256">
        <v>30062</v>
      </c>
      <c r="G20" s="239">
        <f t="shared" si="7"/>
        <v>30963.86</v>
      </c>
      <c r="H20" s="240">
        <f t="shared" si="0"/>
        <v>14.452884615384615</v>
      </c>
      <c r="I20" s="241">
        <f t="shared" si="0"/>
        <v>14.886471153846154</v>
      </c>
      <c r="J20" s="242">
        <v>696</v>
      </c>
      <c r="K20" s="243">
        <v>1384</v>
      </c>
      <c r="L20" s="244">
        <f t="shared" si="1"/>
        <v>10059.207692307693</v>
      </c>
      <c r="M20" s="245">
        <f t="shared" si="1"/>
        <v>20602.876076923076</v>
      </c>
      <c r="N20" s="245">
        <f t="shared" si="2"/>
        <v>30662.083769230769</v>
      </c>
      <c r="O20" s="239">
        <f t="shared" si="3"/>
        <v>919.86251307692305</v>
      </c>
      <c r="P20" s="246">
        <v>0.03</v>
      </c>
      <c r="Q20" s="239">
        <f t="shared" si="4"/>
        <v>919.86251307692305</v>
      </c>
      <c r="R20" s="246">
        <v>0.03</v>
      </c>
      <c r="S20" s="247">
        <f t="shared" si="5"/>
        <v>28822.358743076922</v>
      </c>
      <c r="T20" s="245">
        <v>0.94</v>
      </c>
      <c r="U20" s="248">
        <f t="shared" si="8"/>
        <v>3914.16</v>
      </c>
      <c r="V20" s="245">
        <f t="shared" si="6"/>
        <v>25.38</v>
      </c>
    </row>
    <row r="21" spans="1:22" x14ac:dyDescent="0.2">
      <c r="A21" s="249" t="s">
        <v>216</v>
      </c>
      <c r="B21" s="249" t="s">
        <v>217</v>
      </c>
      <c r="C21" s="250" t="s">
        <v>304</v>
      </c>
      <c r="D21" s="251" t="s">
        <v>206</v>
      </c>
      <c r="E21" s="253"/>
      <c r="F21" s="238">
        <v>44796</v>
      </c>
      <c r="G21" s="239">
        <f t="shared" si="7"/>
        <v>46139.88</v>
      </c>
      <c r="H21" s="240">
        <f t="shared" si="0"/>
        <v>21.536538461538463</v>
      </c>
      <c r="I21" s="241">
        <f t="shared" si="0"/>
        <v>22.182634615384615</v>
      </c>
      <c r="J21" s="242">
        <v>696</v>
      </c>
      <c r="K21" s="243">
        <v>1384</v>
      </c>
      <c r="L21" s="244">
        <f t="shared" si="1"/>
        <v>14989.43076923077</v>
      </c>
      <c r="M21" s="245">
        <f t="shared" si="1"/>
        <v>30700.766307692305</v>
      </c>
      <c r="N21" s="245">
        <f t="shared" si="2"/>
        <v>45690.197076923076</v>
      </c>
      <c r="O21" s="239">
        <f t="shared" si="3"/>
        <v>0</v>
      </c>
      <c r="P21" s="246">
        <v>0</v>
      </c>
      <c r="Q21" s="239">
        <f t="shared" si="4"/>
        <v>0</v>
      </c>
      <c r="R21" s="246">
        <v>0</v>
      </c>
      <c r="S21" s="247">
        <f t="shared" si="5"/>
        <v>45690.197076923076</v>
      </c>
      <c r="T21" s="245">
        <v>1</v>
      </c>
      <c r="U21" s="248">
        <f>347*12*T21</f>
        <v>4164</v>
      </c>
      <c r="V21" s="245">
        <f t="shared" si="6"/>
        <v>27</v>
      </c>
    </row>
    <row r="22" spans="1:22" x14ac:dyDescent="0.2">
      <c r="A22" s="249" t="s">
        <v>218</v>
      </c>
      <c r="B22" s="249" t="s">
        <v>219</v>
      </c>
      <c r="C22" s="250" t="s">
        <v>304</v>
      </c>
      <c r="D22" s="251" t="s">
        <v>200</v>
      </c>
      <c r="E22" s="253"/>
      <c r="F22" s="238">
        <v>30233</v>
      </c>
      <c r="G22" s="239">
        <f t="shared" si="7"/>
        <v>31139.99</v>
      </c>
      <c r="H22" s="240">
        <f t="shared" si="0"/>
        <v>14.535096153846155</v>
      </c>
      <c r="I22" s="241">
        <f t="shared" si="0"/>
        <v>14.971149038461538</v>
      </c>
      <c r="J22" s="242">
        <v>696</v>
      </c>
      <c r="K22" s="243">
        <v>1384</v>
      </c>
      <c r="L22" s="244">
        <f t="shared" si="1"/>
        <v>10116.426923076924</v>
      </c>
      <c r="M22" s="245">
        <f t="shared" si="1"/>
        <v>20720.070269230768</v>
      </c>
      <c r="N22" s="245">
        <f t="shared" si="2"/>
        <v>30836.497192307692</v>
      </c>
      <c r="O22" s="239">
        <f t="shared" si="3"/>
        <v>0</v>
      </c>
      <c r="P22" s="246">
        <v>0</v>
      </c>
      <c r="Q22" s="239">
        <f t="shared" si="4"/>
        <v>0</v>
      </c>
      <c r="R22" s="246">
        <v>0</v>
      </c>
      <c r="S22" s="247">
        <f t="shared" si="5"/>
        <v>30836.497192307692</v>
      </c>
      <c r="T22" s="245">
        <v>1</v>
      </c>
      <c r="U22" s="248">
        <f>347*12*T22</f>
        <v>4164</v>
      </c>
      <c r="V22" s="245">
        <f t="shared" si="6"/>
        <v>27</v>
      </c>
    </row>
    <row r="23" spans="1:22" x14ac:dyDescent="0.2">
      <c r="A23" s="249" t="s">
        <v>220</v>
      </c>
      <c r="B23" s="249" t="s">
        <v>221</v>
      </c>
      <c r="C23" s="250" t="s">
        <v>304</v>
      </c>
      <c r="D23" s="251" t="s">
        <v>210</v>
      </c>
      <c r="E23" s="253"/>
      <c r="F23" s="238">
        <v>30062</v>
      </c>
      <c r="G23" s="239">
        <f t="shared" si="7"/>
        <v>30963.86</v>
      </c>
      <c r="H23" s="240">
        <f t="shared" si="0"/>
        <v>14.452884615384615</v>
      </c>
      <c r="I23" s="241">
        <f t="shared" si="0"/>
        <v>14.886471153846154</v>
      </c>
      <c r="J23" s="242">
        <v>696</v>
      </c>
      <c r="K23" s="243">
        <v>1384</v>
      </c>
      <c r="L23" s="244">
        <f t="shared" si="1"/>
        <v>10059.207692307693</v>
      </c>
      <c r="M23" s="245">
        <f t="shared" si="1"/>
        <v>20602.876076923076</v>
      </c>
      <c r="N23" s="245">
        <f t="shared" si="2"/>
        <v>30662.083769230769</v>
      </c>
      <c r="O23" s="239">
        <f t="shared" si="3"/>
        <v>0</v>
      </c>
      <c r="P23" s="246">
        <v>0</v>
      </c>
      <c r="Q23" s="239">
        <f t="shared" si="4"/>
        <v>0</v>
      </c>
      <c r="R23" s="246">
        <v>0</v>
      </c>
      <c r="S23" s="247">
        <f t="shared" si="5"/>
        <v>30662.083769230769</v>
      </c>
      <c r="T23" s="245">
        <v>1</v>
      </c>
      <c r="U23" s="248">
        <f>347*12*T23</f>
        <v>4164</v>
      </c>
      <c r="V23" s="245">
        <f t="shared" si="6"/>
        <v>27</v>
      </c>
    </row>
    <row r="24" spans="1:22" x14ac:dyDescent="0.2">
      <c r="A24" s="257" t="s">
        <v>222</v>
      </c>
      <c r="B24" s="251" t="s">
        <v>223</v>
      </c>
      <c r="C24" s="254" t="s">
        <v>304</v>
      </c>
      <c r="D24" s="258" t="s">
        <v>206</v>
      </c>
      <c r="E24" s="253"/>
      <c r="F24" s="238">
        <v>41280</v>
      </c>
      <c r="G24" s="239">
        <f t="shared" si="7"/>
        <v>42518.400000000001</v>
      </c>
      <c r="H24" s="240">
        <f t="shared" si="0"/>
        <v>19.846153846153847</v>
      </c>
      <c r="I24" s="241">
        <f>G24/26/80</f>
        <v>20.441538461538464</v>
      </c>
      <c r="J24" s="242">
        <v>696</v>
      </c>
      <c r="K24" s="243">
        <v>1384</v>
      </c>
      <c r="L24" s="244">
        <f t="shared" si="1"/>
        <v>13812.923076923078</v>
      </c>
      <c r="M24" s="245">
        <f t="shared" si="1"/>
        <v>28291.089230769234</v>
      </c>
      <c r="N24" s="245">
        <f t="shared" si="2"/>
        <v>42104.012307692312</v>
      </c>
      <c r="O24" s="239">
        <v>0</v>
      </c>
      <c r="P24" s="246">
        <v>0</v>
      </c>
      <c r="Q24" s="239">
        <v>0</v>
      </c>
      <c r="R24" s="246">
        <v>0</v>
      </c>
      <c r="S24" s="247">
        <f t="shared" si="5"/>
        <v>42104.012307692312</v>
      </c>
      <c r="T24" s="245">
        <v>1</v>
      </c>
      <c r="U24" s="248">
        <f>347*12*T24</f>
        <v>4164</v>
      </c>
      <c r="V24" s="245">
        <f t="shared" si="6"/>
        <v>27</v>
      </c>
    </row>
    <row r="25" spans="1:22" x14ac:dyDescent="0.2">
      <c r="D25" s="259"/>
      <c r="E25" s="259"/>
      <c r="F25" s="259"/>
      <c r="G25" s="260"/>
      <c r="H25" s="261"/>
      <c r="I25" s="262"/>
      <c r="J25" s="263" t="s">
        <v>224</v>
      </c>
      <c r="K25" s="263"/>
      <c r="L25" s="263"/>
      <c r="M25" s="264"/>
      <c r="N25" s="246"/>
      <c r="O25" s="258"/>
      <c r="P25" s="258"/>
      <c r="Q25" s="258"/>
      <c r="R25" s="258"/>
      <c r="S25" s="265">
        <f>SUM(S9:S24)</f>
        <v>530415.71905307681</v>
      </c>
      <c r="U25" s="266">
        <f>SUM(U9:U24)</f>
        <v>61169.16</v>
      </c>
      <c r="V25" s="267">
        <f>SUM(V9:V24)</f>
        <v>396.63000000000005</v>
      </c>
    </row>
    <row r="26" spans="1:22" x14ac:dyDescent="0.2">
      <c r="D26" s="268"/>
      <c r="E26" s="269"/>
      <c r="F26" s="269"/>
      <c r="G26" s="270"/>
      <c r="H26" s="271"/>
      <c r="I26" s="271"/>
      <c r="J26" s="272" t="s">
        <v>225</v>
      </c>
      <c r="K26" s="273"/>
      <c r="L26" s="273"/>
      <c r="M26" s="258"/>
      <c r="N26" s="274"/>
      <c r="O26" s="258"/>
      <c r="P26" s="258"/>
      <c r="Q26" s="258"/>
      <c r="R26" s="258"/>
      <c r="S26" s="265">
        <f>SUM(U25)</f>
        <v>61169.16</v>
      </c>
    </row>
    <row r="27" spans="1:22" x14ac:dyDescent="0.2">
      <c r="D27" s="269"/>
      <c r="E27" s="269"/>
      <c r="F27" s="269"/>
      <c r="G27" s="270"/>
      <c r="H27" s="271"/>
      <c r="I27" s="271"/>
      <c r="J27" s="273" t="s">
        <v>226</v>
      </c>
      <c r="K27" s="273"/>
      <c r="L27" s="273"/>
      <c r="M27" s="258"/>
      <c r="N27" s="274"/>
      <c r="O27" s="258"/>
      <c r="P27" s="258"/>
      <c r="Q27" s="258"/>
      <c r="R27" s="258"/>
      <c r="S27" s="265">
        <f>SUM(V25)</f>
        <v>396.63000000000005</v>
      </c>
    </row>
    <row r="28" spans="1:22" x14ac:dyDescent="0.2">
      <c r="A28" s="275"/>
      <c r="B28" s="275"/>
      <c r="C28" s="275"/>
      <c r="D28" s="269"/>
      <c r="E28" s="269"/>
      <c r="F28" s="269"/>
      <c r="G28" s="270"/>
      <c r="H28" s="276"/>
      <c r="I28" s="276"/>
      <c r="J28" s="273" t="s">
        <v>227</v>
      </c>
      <c r="K28" s="273"/>
      <c r="L28" s="273"/>
      <c r="M28" s="258"/>
      <c r="N28" s="246"/>
      <c r="O28" s="258"/>
      <c r="P28" s="258"/>
      <c r="Q28" s="258"/>
      <c r="R28" s="258"/>
      <c r="S28" s="265">
        <f>S25*0.0765</f>
        <v>40576.802507560373</v>
      </c>
    </row>
    <row r="29" spans="1:22" x14ac:dyDescent="0.2">
      <c r="A29" s="277"/>
      <c r="B29" s="277"/>
      <c r="C29" s="277"/>
      <c r="D29" s="269"/>
      <c r="E29" s="269"/>
      <c r="F29" s="269"/>
      <c r="G29" s="270"/>
      <c r="H29" s="275"/>
      <c r="I29" s="275"/>
      <c r="J29" s="272" t="s">
        <v>228</v>
      </c>
      <c r="K29" s="273"/>
      <c r="L29" s="273"/>
      <c r="M29" s="258"/>
      <c r="N29" s="278"/>
      <c r="O29" s="258"/>
      <c r="P29" s="258"/>
      <c r="Q29" s="258"/>
      <c r="R29" s="258"/>
      <c r="S29" s="265">
        <f>S25*0.1032</f>
        <v>54738.902206277526</v>
      </c>
    </row>
    <row r="30" spans="1:22" x14ac:dyDescent="0.2">
      <c r="A30" s="277"/>
      <c r="B30" s="277"/>
      <c r="C30" s="277"/>
      <c r="D30" s="269"/>
      <c r="E30" s="269"/>
      <c r="F30" s="269"/>
      <c r="G30" s="270"/>
      <c r="H30" s="275"/>
      <c r="I30" s="275"/>
      <c r="J30" s="272" t="s">
        <v>229</v>
      </c>
      <c r="K30" s="273"/>
      <c r="L30" s="273"/>
      <c r="M30" s="258"/>
      <c r="N30" s="278"/>
      <c r="O30" s="258"/>
      <c r="P30" s="258"/>
      <c r="Q30" s="258"/>
      <c r="R30" s="258"/>
      <c r="S30" s="265">
        <f>S25*0.01</f>
        <v>5304.1571905307683</v>
      </c>
    </row>
    <row r="31" spans="1:22" x14ac:dyDescent="0.2">
      <c r="A31" s="277"/>
      <c r="B31" s="277"/>
      <c r="C31" s="277"/>
      <c r="D31" s="269"/>
      <c r="E31" s="269"/>
      <c r="F31" s="269"/>
      <c r="G31" s="270"/>
      <c r="H31" s="275"/>
      <c r="I31" s="275"/>
      <c r="J31" s="273" t="s">
        <v>230</v>
      </c>
      <c r="K31" s="273"/>
      <c r="L31" s="273"/>
      <c r="M31" s="258"/>
      <c r="N31" s="278"/>
      <c r="O31" s="258"/>
      <c r="P31" s="258"/>
      <c r="Q31" s="258"/>
      <c r="R31" s="258"/>
      <c r="S31" s="265">
        <f>S25*0.01</f>
        <v>5304.1571905307683</v>
      </c>
    </row>
    <row r="32" spans="1:22" ht="13.5" thickBot="1" x14ac:dyDescent="0.25">
      <c r="A32" s="277"/>
      <c r="B32" s="277"/>
      <c r="C32" s="277"/>
      <c r="D32" s="269"/>
      <c r="E32" s="269"/>
      <c r="F32" s="269"/>
      <c r="G32" s="270"/>
      <c r="H32" s="275"/>
      <c r="I32" s="275"/>
      <c r="J32" s="272" t="s">
        <v>231</v>
      </c>
      <c r="K32" s="273"/>
      <c r="L32" s="273"/>
      <c r="M32" s="258"/>
      <c r="N32" s="278"/>
      <c r="O32" s="258"/>
      <c r="P32" s="258"/>
      <c r="Q32" s="258"/>
      <c r="R32" s="258"/>
      <c r="S32" s="279">
        <f>SUM(S25:S31)</f>
        <v>697905.52814797626</v>
      </c>
    </row>
    <row r="33" spans="1:19" ht="13.5" thickTop="1" x14ac:dyDescent="0.2">
      <c r="A33" s="277"/>
      <c r="B33" s="277"/>
      <c r="C33" s="277"/>
      <c r="D33" s="269"/>
      <c r="E33" s="269"/>
      <c r="F33" s="269"/>
      <c r="G33" s="270"/>
      <c r="H33" s="275"/>
      <c r="I33" s="275"/>
      <c r="J33" s="268"/>
      <c r="K33" s="269"/>
      <c r="L33" s="269"/>
      <c r="M33" s="270"/>
      <c r="N33" s="275"/>
      <c r="O33" s="270"/>
      <c r="P33" s="270"/>
      <c r="Q33" s="270"/>
      <c r="R33" s="270"/>
      <c r="S33" s="386"/>
    </row>
    <row r="34" spans="1:19" x14ac:dyDescent="0.2">
      <c r="A34" s="280" t="s">
        <v>23</v>
      </c>
      <c r="B34" s="277"/>
      <c r="C34" s="277"/>
      <c r="D34" s="277"/>
      <c r="E34" s="277"/>
      <c r="F34" s="275"/>
      <c r="G34" s="275"/>
      <c r="H34" s="275"/>
      <c r="I34" s="275"/>
      <c r="J34" s="275"/>
      <c r="K34" s="276"/>
      <c r="L34" s="276"/>
      <c r="M34" s="275"/>
    </row>
    <row r="35" spans="1:19" x14ac:dyDescent="0.2">
      <c r="A35" s="215">
        <v>1</v>
      </c>
      <c r="B35" s="281" t="s">
        <v>232</v>
      </c>
      <c r="C35" s="277"/>
      <c r="D35" s="277"/>
      <c r="E35" s="277"/>
      <c r="F35" s="277"/>
      <c r="G35" s="275"/>
      <c r="H35" s="275"/>
      <c r="I35" s="275"/>
      <c r="J35" s="275"/>
      <c r="K35" s="276"/>
      <c r="L35" s="276"/>
      <c r="M35" s="275"/>
    </row>
    <row r="36" spans="1:19" x14ac:dyDescent="0.2">
      <c r="A36" s="215">
        <v>2</v>
      </c>
      <c r="B36" s="282" t="s">
        <v>233</v>
      </c>
      <c r="C36" s="277"/>
      <c r="D36" s="277"/>
      <c r="E36" s="277"/>
      <c r="F36" s="277"/>
      <c r="G36" s="275"/>
      <c r="H36" s="275"/>
      <c r="I36" s="275"/>
      <c r="J36" s="275"/>
      <c r="K36" s="276"/>
      <c r="L36" s="276"/>
      <c r="M36" s="275"/>
    </row>
    <row r="37" spans="1:19" x14ac:dyDescent="0.2">
      <c r="A37" s="215">
        <v>3</v>
      </c>
      <c r="B37" s="277" t="s">
        <v>234</v>
      </c>
      <c r="C37" s="277"/>
      <c r="D37" s="277"/>
      <c r="E37" s="277"/>
      <c r="F37" s="277"/>
      <c r="G37" s="275"/>
      <c r="H37" s="275"/>
      <c r="I37" s="275"/>
      <c r="J37" s="275"/>
      <c r="K37" s="276"/>
      <c r="L37" s="276"/>
      <c r="M37" s="275"/>
    </row>
    <row r="38" spans="1:19" x14ac:dyDescent="0.2">
      <c r="A38" s="215">
        <v>4</v>
      </c>
      <c r="B38" s="282" t="s">
        <v>235</v>
      </c>
      <c r="C38" s="277"/>
      <c r="D38" s="277"/>
      <c r="E38" s="277"/>
      <c r="F38" s="277"/>
      <c r="G38" s="275"/>
      <c r="H38" s="275"/>
      <c r="I38" s="275"/>
      <c r="J38" s="275"/>
      <c r="K38" s="275"/>
      <c r="L38" s="276"/>
      <c r="M38" s="275"/>
    </row>
    <row r="39" spans="1:19" x14ac:dyDescent="0.2">
      <c r="A39" s="215">
        <v>5</v>
      </c>
      <c r="B39" s="277" t="s">
        <v>236</v>
      </c>
      <c r="C39" s="277"/>
      <c r="D39" s="277"/>
      <c r="E39" s="277"/>
      <c r="F39" s="277"/>
      <c r="G39" s="275"/>
      <c r="H39" s="275"/>
      <c r="I39" s="275"/>
      <c r="J39" s="275"/>
      <c r="K39" s="275"/>
      <c r="L39" s="276"/>
      <c r="M39" s="276"/>
    </row>
    <row r="40" spans="1:19" x14ac:dyDescent="0.2">
      <c r="A40" s="215">
        <v>6</v>
      </c>
      <c r="B40" s="282" t="s">
        <v>237</v>
      </c>
      <c r="C40" s="277"/>
      <c r="D40" s="277"/>
      <c r="E40" s="277"/>
      <c r="F40" s="277"/>
      <c r="G40" s="275"/>
      <c r="H40" s="275"/>
      <c r="I40" s="275"/>
      <c r="J40" s="275"/>
      <c r="K40" s="276"/>
      <c r="L40" s="276"/>
      <c r="M40" s="275"/>
    </row>
    <row r="41" spans="1:19" x14ac:dyDescent="0.2">
      <c r="A41" s="277"/>
      <c r="B41" s="277"/>
      <c r="C41" s="277"/>
      <c r="D41" s="277"/>
      <c r="E41" s="277"/>
      <c r="F41" s="275"/>
      <c r="G41" s="275"/>
      <c r="H41" s="275"/>
      <c r="I41" s="275"/>
      <c r="J41" s="275"/>
      <c r="K41" s="276"/>
      <c r="L41" s="276"/>
      <c r="M41" s="275"/>
    </row>
    <row r="42" spans="1:19" x14ac:dyDescent="0.2">
      <c r="A42" s="277"/>
      <c r="B42" s="277"/>
      <c r="C42" s="277"/>
      <c r="D42" s="277"/>
      <c r="E42" s="277"/>
      <c r="F42" s="275"/>
      <c r="G42" s="275"/>
      <c r="H42" s="275"/>
      <c r="I42" s="275"/>
      <c r="J42" s="283" t="s">
        <v>238</v>
      </c>
    </row>
    <row r="43" spans="1:19" x14ac:dyDescent="0.2">
      <c r="A43" s="277"/>
      <c r="B43" s="277"/>
      <c r="C43" s="277"/>
      <c r="D43" s="277"/>
      <c r="E43" s="277"/>
      <c r="F43" s="275"/>
      <c r="G43" s="275"/>
      <c r="H43" s="275"/>
      <c r="I43" s="275"/>
      <c r="J43" s="283" t="s">
        <v>239</v>
      </c>
    </row>
    <row r="44" spans="1:19" x14ac:dyDescent="0.2">
      <c r="A44" s="275"/>
      <c r="B44" s="275"/>
      <c r="C44" s="275"/>
      <c r="D44" s="275"/>
      <c r="E44" s="275"/>
      <c r="F44" s="276"/>
      <c r="G44" s="276"/>
      <c r="H44" s="276"/>
      <c r="I44" s="276"/>
      <c r="J44" s="263" t="s">
        <v>224</v>
      </c>
      <c r="K44" s="263"/>
      <c r="L44" s="263"/>
      <c r="M44" s="264"/>
      <c r="N44" s="246"/>
      <c r="O44" s="258"/>
      <c r="P44" s="258"/>
      <c r="Q44" s="258"/>
      <c r="R44" s="258"/>
      <c r="S44" s="265">
        <v>37000</v>
      </c>
    </row>
    <row r="45" spans="1:19" x14ac:dyDescent="0.2">
      <c r="J45" s="272" t="s">
        <v>240</v>
      </c>
      <c r="K45" s="273"/>
      <c r="L45" s="273"/>
      <c r="M45" s="258"/>
      <c r="N45" s="274"/>
      <c r="O45" s="258"/>
      <c r="P45" s="258"/>
      <c r="Q45" s="258"/>
      <c r="R45" s="258"/>
      <c r="S45" s="265"/>
    </row>
    <row r="46" spans="1:19" x14ac:dyDescent="0.2">
      <c r="J46" s="273" t="s">
        <v>241</v>
      </c>
      <c r="K46" s="273"/>
      <c r="L46" s="273"/>
      <c r="M46" s="258"/>
      <c r="N46" s="274"/>
      <c r="O46" s="258"/>
      <c r="P46" s="258"/>
      <c r="Q46" s="258"/>
      <c r="R46" s="258"/>
      <c r="S46" s="265"/>
    </row>
    <row r="47" spans="1:19" x14ac:dyDescent="0.2">
      <c r="J47" s="273" t="s">
        <v>227</v>
      </c>
      <c r="K47" s="273"/>
      <c r="L47" s="273"/>
      <c r="M47" s="258"/>
      <c r="N47" s="246"/>
      <c r="O47" s="258"/>
      <c r="P47" s="258"/>
      <c r="Q47" s="258"/>
      <c r="R47" s="258"/>
      <c r="S47" s="265">
        <f>S44*0.0765</f>
        <v>2830.5</v>
      </c>
    </row>
    <row r="48" spans="1:19" x14ac:dyDescent="0.2">
      <c r="J48" s="272" t="s">
        <v>228</v>
      </c>
      <c r="K48" s="273"/>
      <c r="L48" s="273"/>
      <c r="M48" s="258"/>
      <c r="N48" s="278"/>
      <c r="O48" s="258"/>
      <c r="P48" s="258"/>
      <c r="Q48" s="258"/>
      <c r="R48" s="258"/>
      <c r="S48" s="265">
        <f>S44*0.1032</f>
        <v>3818.4</v>
      </c>
    </row>
    <row r="49" spans="2:19" x14ac:dyDescent="0.2">
      <c r="B49" s="284"/>
      <c r="C49" s="284"/>
      <c r="D49" s="284"/>
      <c r="E49" s="285"/>
      <c r="F49" s="276"/>
      <c r="G49" s="275"/>
      <c r="H49" s="275"/>
      <c r="I49" s="275"/>
      <c r="J49" s="272" t="s">
        <v>229</v>
      </c>
      <c r="K49" s="273"/>
      <c r="L49" s="273"/>
      <c r="M49" s="258"/>
      <c r="N49" s="278"/>
      <c r="O49" s="258"/>
      <c r="P49" s="258"/>
      <c r="Q49" s="258"/>
      <c r="R49" s="258"/>
      <c r="S49" s="265">
        <f>S44*0.01</f>
        <v>370</v>
      </c>
    </row>
    <row r="50" spans="2:19" x14ac:dyDescent="0.2">
      <c r="B50" s="282"/>
      <c r="C50" s="277"/>
      <c r="D50" s="277"/>
      <c r="E50" s="275"/>
      <c r="F50" s="276"/>
      <c r="G50" s="275"/>
      <c r="H50" s="275"/>
      <c r="I50" s="275"/>
      <c r="J50" s="273" t="s">
        <v>230</v>
      </c>
      <c r="K50" s="273"/>
      <c r="L50" s="273"/>
      <c r="M50" s="258"/>
      <c r="N50" s="278"/>
      <c r="O50" s="258"/>
      <c r="P50" s="258"/>
      <c r="Q50" s="258"/>
      <c r="R50" s="258"/>
      <c r="S50" s="265">
        <v>375.63</v>
      </c>
    </row>
    <row r="51" spans="2:19" ht="13.5" thickBot="1" x14ac:dyDescent="0.25">
      <c r="B51" s="277"/>
      <c r="C51" s="277"/>
      <c r="D51" s="277"/>
      <c r="E51" s="275"/>
      <c r="F51" s="276"/>
      <c r="G51" s="275"/>
      <c r="H51" s="275"/>
      <c r="I51" s="275"/>
      <c r="N51" s="286" t="s">
        <v>242</v>
      </c>
      <c r="O51" s="286"/>
      <c r="S51" s="287">
        <f>SUM(S44:S50)</f>
        <v>44394.53</v>
      </c>
    </row>
    <row r="52" spans="2:19" ht="13.5" thickTop="1" x14ac:dyDescent="0.2">
      <c r="B52" s="277"/>
      <c r="C52" s="277"/>
      <c r="D52" s="277"/>
      <c r="E52" s="275"/>
      <c r="F52" s="276"/>
      <c r="G52" s="275"/>
      <c r="H52" s="275"/>
      <c r="I52" s="275"/>
    </row>
    <row r="53" spans="2:19" x14ac:dyDescent="0.2">
      <c r="B53" s="282"/>
      <c r="C53" s="277"/>
      <c r="D53" s="277"/>
      <c r="E53" s="275"/>
      <c r="F53" s="275"/>
      <c r="G53" s="275"/>
      <c r="H53" s="275"/>
      <c r="I53" s="275"/>
      <c r="J53" s="283" t="s">
        <v>243</v>
      </c>
    </row>
    <row r="54" spans="2:19" x14ac:dyDescent="0.2">
      <c r="B54" s="282"/>
      <c r="C54" s="277"/>
      <c r="D54" s="277"/>
      <c r="E54" s="275"/>
      <c r="F54" s="275"/>
      <c r="G54" s="275"/>
      <c r="H54" s="275"/>
      <c r="I54" s="275"/>
      <c r="J54" s="283" t="s">
        <v>244</v>
      </c>
    </row>
    <row r="55" spans="2:19" x14ac:dyDescent="0.2">
      <c r="B55" s="277"/>
      <c r="C55" s="277"/>
      <c r="D55" s="277"/>
      <c r="E55" s="275"/>
      <c r="F55" s="275"/>
      <c r="G55" s="275"/>
      <c r="H55" s="275"/>
      <c r="I55" s="275"/>
      <c r="J55" s="263" t="s">
        <v>224</v>
      </c>
      <c r="K55" s="263"/>
      <c r="L55" s="263"/>
      <c r="M55" s="264"/>
      <c r="N55" s="246"/>
      <c r="O55" s="258"/>
      <c r="P55" s="258"/>
      <c r="Q55" s="258"/>
      <c r="R55" s="258"/>
      <c r="S55" s="265">
        <v>22380</v>
      </c>
    </row>
    <row r="56" spans="2:19" x14ac:dyDescent="0.2">
      <c r="J56" s="272" t="s">
        <v>240</v>
      </c>
      <c r="K56" s="273"/>
      <c r="L56" s="273"/>
      <c r="M56" s="258"/>
      <c r="N56" s="274"/>
      <c r="O56" s="258"/>
      <c r="P56" s="258"/>
      <c r="Q56" s="258"/>
      <c r="R56" s="258"/>
      <c r="S56" s="265">
        <f>SUM(U36)</f>
        <v>0</v>
      </c>
    </row>
    <row r="57" spans="2:19" x14ac:dyDescent="0.2">
      <c r="J57" s="273" t="s">
        <v>241</v>
      </c>
      <c r="K57" s="273"/>
      <c r="L57" s="273"/>
      <c r="M57" s="258"/>
      <c r="N57" s="274"/>
      <c r="O57" s="258"/>
      <c r="P57" s="258"/>
      <c r="Q57" s="258"/>
      <c r="R57" s="258"/>
      <c r="S57" s="265">
        <f>SUM(V36)</f>
        <v>0</v>
      </c>
    </row>
    <row r="58" spans="2:19" x14ac:dyDescent="0.2">
      <c r="J58" s="273" t="s">
        <v>227</v>
      </c>
      <c r="K58" s="273"/>
      <c r="L58" s="273"/>
      <c r="M58" s="258"/>
      <c r="N58" s="246"/>
      <c r="O58" s="258"/>
      <c r="P58" s="258"/>
      <c r="Q58" s="258"/>
      <c r="R58" s="258"/>
      <c r="S58" s="265">
        <f>S55*0.0765</f>
        <v>1712.07</v>
      </c>
    </row>
    <row r="59" spans="2:19" x14ac:dyDescent="0.2">
      <c r="J59" s="272" t="s">
        <v>228</v>
      </c>
      <c r="K59" s="273"/>
      <c r="L59" s="273"/>
      <c r="M59" s="258"/>
      <c r="N59" s="278"/>
      <c r="O59" s="258"/>
      <c r="P59" s="258"/>
      <c r="Q59" s="258"/>
      <c r="R59" s="258"/>
      <c r="S59" s="265">
        <f>S55*0.1032</f>
        <v>2309.616</v>
      </c>
    </row>
    <row r="60" spans="2:19" x14ac:dyDescent="0.2">
      <c r="J60" s="272" t="s">
        <v>229</v>
      </c>
      <c r="K60" s="273"/>
      <c r="L60" s="273"/>
      <c r="M60" s="258"/>
      <c r="N60" s="278"/>
      <c r="O60" s="258"/>
      <c r="P60" s="258"/>
      <c r="Q60" s="258"/>
      <c r="R60" s="258"/>
      <c r="S60" s="265">
        <f>S55*0.01</f>
        <v>223.8</v>
      </c>
    </row>
    <row r="61" spans="2:19" x14ac:dyDescent="0.2">
      <c r="J61" s="273" t="s">
        <v>230</v>
      </c>
      <c r="K61" s="273"/>
      <c r="L61" s="273"/>
      <c r="M61" s="258"/>
      <c r="N61" s="278"/>
      <c r="O61" s="258"/>
      <c r="P61" s="258"/>
      <c r="Q61" s="258"/>
      <c r="R61" s="258"/>
      <c r="S61" s="265">
        <v>375.63</v>
      </c>
    </row>
    <row r="62" spans="2:19" ht="13.5" thickBot="1" x14ac:dyDescent="0.25">
      <c r="N62" s="286" t="s">
        <v>242</v>
      </c>
      <c r="O62" s="286"/>
      <c r="S62" s="287">
        <f>SUM(S55:S61)</f>
        <v>27001.116000000002</v>
      </c>
    </row>
    <row r="63" spans="2:19" ht="13.5" thickTop="1" x14ac:dyDescent="0.2"/>
    <row r="64" spans="2:19" x14ac:dyDescent="0.2">
      <c r="J64" s="283" t="s">
        <v>245</v>
      </c>
    </row>
    <row r="65" spans="10:21" x14ac:dyDescent="0.2">
      <c r="J65" s="283" t="s">
        <v>246</v>
      </c>
    </row>
    <row r="66" spans="10:21" x14ac:dyDescent="0.2">
      <c r="J66" s="263" t="s">
        <v>224</v>
      </c>
      <c r="K66" s="263"/>
      <c r="L66" s="263"/>
      <c r="M66" s="264"/>
      <c r="N66" s="246"/>
      <c r="O66" s="258"/>
      <c r="P66" s="258"/>
      <c r="Q66" s="258"/>
      <c r="R66" s="258"/>
      <c r="S66" s="265">
        <v>23320</v>
      </c>
      <c r="U66" s="215">
        <v>0.82889999999999997</v>
      </c>
    </row>
    <row r="67" spans="10:21" x14ac:dyDescent="0.2">
      <c r="J67" s="272" t="s">
        <v>240</v>
      </c>
      <c r="K67" s="273"/>
      <c r="L67" s="273"/>
      <c r="M67" s="258"/>
      <c r="N67" s="274"/>
      <c r="O67" s="258"/>
      <c r="P67" s="258"/>
      <c r="Q67" s="258"/>
      <c r="R67" s="258"/>
      <c r="S67" s="265">
        <f>SUM(U47)</f>
        <v>0</v>
      </c>
    </row>
    <row r="68" spans="10:21" x14ac:dyDescent="0.2">
      <c r="J68" s="273" t="s">
        <v>241</v>
      </c>
      <c r="K68" s="273"/>
      <c r="L68" s="273"/>
      <c r="M68" s="258"/>
      <c r="N68" s="274"/>
      <c r="O68" s="258"/>
      <c r="P68" s="258"/>
      <c r="Q68" s="258"/>
      <c r="R68" s="258"/>
      <c r="S68" s="265">
        <f>SUM(V47)</f>
        <v>0</v>
      </c>
    </row>
    <row r="69" spans="10:21" x14ac:dyDescent="0.2">
      <c r="J69" s="273" t="s">
        <v>227</v>
      </c>
      <c r="K69" s="273"/>
      <c r="L69" s="273"/>
      <c r="M69" s="258"/>
      <c r="N69" s="246"/>
      <c r="O69" s="258"/>
      <c r="P69" s="258"/>
      <c r="Q69" s="258"/>
      <c r="R69" s="258"/>
      <c r="S69" s="265">
        <f>S66*0.0765</f>
        <v>1783.98</v>
      </c>
      <c r="U69" s="215">
        <v>0.1711</v>
      </c>
    </row>
    <row r="70" spans="10:21" x14ac:dyDescent="0.2">
      <c r="J70" s="272" t="s">
        <v>228</v>
      </c>
      <c r="K70" s="273"/>
      <c r="L70" s="273"/>
      <c r="M70" s="258"/>
      <c r="N70" s="278"/>
      <c r="O70" s="258"/>
      <c r="P70" s="258"/>
      <c r="Q70" s="258"/>
      <c r="R70" s="258"/>
      <c r="S70" s="265">
        <f>S66*0.1032</f>
        <v>2406.6239999999998</v>
      </c>
    </row>
    <row r="71" spans="10:21" x14ac:dyDescent="0.2">
      <c r="J71" s="272" t="s">
        <v>229</v>
      </c>
      <c r="K71" s="273"/>
      <c r="L71" s="273"/>
      <c r="M71" s="258"/>
      <c r="N71" s="278"/>
      <c r="O71" s="258"/>
      <c r="P71" s="258"/>
      <c r="Q71" s="258"/>
      <c r="R71" s="258"/>
      <c r="S71" s="265">
        <f>S66*0.01</f>
        <v>233.20000000000002</v>
      </c>
    </row>
    <row r="72" spans="10:21" x14ac:dyDescent="0.2">
      <c r="J72" s="273" t="s">
        <v>230</v>
      </c>
      <c r="K72" s="273"/>
      <c r="L72" s="273"/>
      <c r="M72" s="258"/>
      <c r="N72" s="278"/>
      <c r="O72" s="258"/>
      <c r="P72" s="258"/>
      <c r="Q72" s="258"/>
      <c r="R72" s="258"/>
      <c r="S72" s="265">
        <f>S66*0.01</f>
        <v>233.20000000000002</v>
      </c>
    </row>
    <row r="73" spans="10:21" ht="13.5" thickBot="1" x14ac:dyDescent="0.25">
      <c r="N73" s="286" t="s">
        <v>242</v>
      </c>
      <c r="O73" s="286"/>
      <c r="S73" s="287">
        <f>SUM(S66:S72)</f>
        <v>27977.004000000001</v>
      </c>
    </row>
    <row r="74" spans="10:21" ht="13.5" thickTop="1" x14ac:dyDescent="0.2"/>
    <row r="75" spans="10:21" hidden="1" x14ac:dyDescent="0.2"/>
    <row r="76" spans="10:21" x14ac:dyDescent="0.2">
      <c r="N76" s="286" t="s">
        <v>242</v>
      </c>
      <c r="S76" s="288">
        <f>SUM(S51+S62+S73)</f>
        <v>99372.650000000009</v>
      </c>
    </row>
    <row r="78" spans="10:21" x14ac:dyDescent="0.2">
      <c r="N78" s="286" t="s">
        <v>247</v>
      </c>
      <c r="O78" s="286"/>
      <c r="S78" s="289">
        <f>S32-S76</f>
        <v>598532.87814797624</v>
      </c>
    </row>
    <row r="79" spans="10:21" x14ac:dyDescent="0.2">
      <c r="N79" s="286" t="s">
        <v>248</v>
      </c>
      <c r="O79" s="286"/>
      <c r="S79" s="290">
        <v>22380</v>
      </c>
    </row>
    <row r="80" spans="10:21" x14ac:dyDescent="0.2">
      <c r="N80" s="286" t="s">
        <v>249</v>
      </c>
      <c r="O80" s="286"/>
      <c r="S80" s="290">
        <v>28136</v>
      </c>
    </row>
    <row r="81" spans="10:19" x14ac:dyDescent="0.2">
      <c r="N81" s="286" t="s">
        <v>250</v>
      </c>
      <c r="S81" s="289">
        <f>SUM(S78:S80)</f>
        <v>649048.87814797624</v>
      </c>
    </row>
    <row r="82" spans="10:19" x14ac:dyDescent="0.2">
      <c r="N82" s="286"/>
      <c r="S82" s="290"/>
    </row>
    <row r="83" spans="10:19" x14ac:dyDescent="0.2">
      <c r="N83" s="286" t="s">
        <v>251</v>
      </c>
      <c r="S83" s="289">
        <v>649320</v>
      </c>
    </row>
    <row r="85" spans="10:19" ht="13.5" thickBot="1" x14ac:dyDescent="0.25">
      <c r="O85" s="286" t="s">
        <v>252</v>
      </c>
      <c r="S85" s="291">
        <f>S83-S81</f>
        <v>271.12185202375986</v>
      </c>
    </row>
    <row r="86" spans="10:19" ht="13.5" thickTop="1" x14ac:dyDescent="0.2"/>
    <row r="87" spans="10:19" x14ac:dyDescent="0.2">
      <c r="J87" s="283" t="s">
        <v>253</v>
      </c>
    </row>
    <row r="89" spans="10:19" x14ac:dyDescent="0.2">
      <c r="J89" s="263" t="s">
        <v>224</v>
      </c>
      <c r="K89" s="263"/>
      <c r="L89" s="263"/>
      <c r="M89" s="264"/>
      <c r="N89" s="246"/>
      <c r="O89" s="258"/>
      <c r="P89" s="258"/>
      <c r="Q89" s="258"/>
      <c r="R89" s="258"/>
      <c r="S89" s="265">
        <f>S25-S44-S55-S66</f>
        <v>447715.71905307681</v>
      </c>
    </row>
    <row r="90" spans="10:19" x14ac:dyDescent="0.2">
      <c r="J90" s="272" t="s">
        <v>225</v>
      </c>
      <c r="K90" s="273"/>
      <c r="L90" s="273"/>
      <c r="M90" s="258"/>
      <c r="N90" s="274"/>
      <c r="O90" s="258"/>
      <c r="P90" s="258"/>
      <c r="Q90" s="258"/>
      <c r="R90" s="258"/>
      <c r="S90" s="265">
        <f>S26</f>
        <v>61169.16</v>
      </c>
    </row>
    <row r="91" spans="10:19" x14ac:dyDescent="0.2">
      <c r="J91" s="273" t="s">
        <v>226</v>
      </c>
      <c r="K91" s="273"/>
      <c r="L91" s="273"/>
      <c r="M91" s="258"/>
      <c r="N91" s="274"/>
      <c r="O91" s="258"/>
      <c r="P91" s="258"/>
      <c r="Q91" s="258"/>
      <c r="R91" s="258"/>
      <c r="S91" s="265">
        <f>S27</f>
        <v>396.63000000000005</v>
      </c>
    </row>
    <row r="92" spans="10:19" x14ac:dyDescent="0.2">
      <c r="J92" s="273" t="s">
        <v>227</v>
      </c>
      <c r="K92" s="273"/>
      <c r="L92" s="273"/>
      <c r="M92" s="258"/>
      <c r="N92" s="246"/>
      <c r="O92" s="258"/>
      <c r="P92" s="258"/>
      <c r="Q92" s="258"/>
      <c r="R92" s="258"/>
      <c r="S92" s="265">
        <f>S28-S47-S58-S69</f>
        <v>34250.25250756037</v>
      </c>
    </row>
    <row r="93" spans="10:19" x14ac:dyDescent="0.2">
      <c r="J93" s="272" t="s">
        <v>228</v>
      </c>
      <c r="K93" s="273"/>
      <c r="L93" s="273"/>
      <c r="M93" s="258"/>
      <c r="N93" s="278"/>
      <c r="O93" s="258"/>
      <c r="P93" s="258"/>
      <c r="Q93" s="258"/>
      <c r="R93" s="258"/>
      <c r="S93" s="265">
        <f>S29-S48-S59-S70</f>
        <v>46204.262206277519</v>
      </c>
    </row>
    <row r="94" spans="10:19" x14ac:dyDescent="0.2">
      <c r="J94" s="272" t="s">
        <v>229</v>
      </c>
      <c r="K94" s="273"/>
      <c r="L94" s="273"/>
      <c r="M94" s="258"/>
      <c r="N94" s="278"/>
      <c r="O94" s="258"/>
      <c r="P94" s="258"/>
      <c r="Q94" s="258"/>
      <c r="R94" s="258"/>
      <c r="S94" s="265">
        <f>S30-S49-S60-S71</f>
        <v>4477.1571905307683</v>
      </c>
    </row>
    <row r="95" spans="10:19" x14ac:dyDescent="0.2">
      <c r="J95" s="273" t="s">
        <v>230</v>
      </c>
      <c r="K95" s="273"/>
      <c r="L95" s="273"/>
      <c r="M95" s="258"/>
      <c r="N95" s="278"/>
      <c r="O95" s="258"/>
      <c r="P95" s="258"/>
      <c r="Q95" s="258"/>
      <c r="R95" s="258"/>
      <c r="S95" s="265">
        <f>S31-S50-S61+430.12-S72-159</f>
        <v>4590.8171905307681</v>
      </c>
    </row>
    <row r="96" spans="10:19" ht="13.5" thickBot="1" x14ac:dyDescent="0.25">
      <c r="J96" s="272" t="s">
        <v>231</v>
      </c>
      <c r="K96" s="273"/>
      <c r="L96" s="273"/>
      <c r="M96" s="258"/>
      <c r="N96" s="278"/>
      <c r="O96" s="258"/>
      <c r="P96" s="258"/>
      <c r="Q96" s="258"/>
      <c r="R96" s="258"/>
      <c r="S96" s="279">
        <f>SUM(S89:S95)</f>
        <v>598803.99814797635</v>
      </c>
    </row>
    <row r="97" spans="10:19" ht="12.75" customHeight="1" thickTop="1" x14ac:dyDescent="0.2"/>
    <row r="98" spans="10:19" ht="12.75" customHeight="1" x14ac:dyDescent="0.2">
      <c r="N98" s="286" t="s">
        <v>248</v>
      </c>
      <c r="O98" s="286"/>
      <c r="S98" s="292">
        <v>22380</v>
      </c>
    </row>
    <row r="99" spans="10:19" ht="12.75" customHeight="1" x14ac:dyDescent="0.2">
      <c r="N99" s="286" t="s">
        <v>254</v>
      </c>
      <c r="O99" s="286"/>
      <c r="S99" s="293">
        <v>28136</v>
      </c>
    </row>
    <row r="100" spans="10:19" ht="12.75" customHeight="1" x14ac:dyDescent="0.2">
      <c r="N100" s="286" t="s">
        <v>255</v>
      </c>
      <c r="O100" s="286"/>
      <c r="S100" s="289">
        <f>SUM(S96+S98+S99)</f>
        <v>649319.99814797635</v>
      </c>
    </row>
    <row r="101" spans="10:19" ht="12.75" customHeight="1" x14ac:dyDescent="0.2">
      <c r="N101" s="286"/>
      <c r="O101" s="286"/>
      <c r="S101" s="290"/>
    </row>
    <row r="102" spans="10:19" x14ac:dyDescent="0.2">
      <c r="O102" s="286" t="s">
        <v>256</v>
      </c>
      <c r="S102" s="289">
        <v>649320</v>
      </c>
    </row>
    <row r="104" spans="10:19" ht="13.5" thickBot="1" x14ac:dyDescent="0.25">
      <c r="O104" s="286" t="s">
        <v>252</v>
      </c>
      <c r="S104" s="291">
        <f>S100-S102</f>
        <v>-1.8520236480981112E-3</v>
      </c>
    </row>
    <row r="105" spans="10:19" ht="13.5" thickTop="1" x14ac:dyDescent="0.2"/>
    <row r="108" spans="10:19" x14ac:dyDescent="0.2">
      <c r="Q108" s="215" t="s">
        <v>257</v>
      </c>
      <c r="S108" s="294">
        <f>S24-S44</f>
        <v>5104.0123076923119</v>
      </c>
    </row>
    <row r="109" spans="10:19" x14ac:dyDescent="0.2">
      <c r="Q109" s="215" t="s">
        <v>258</v>
      </c>
      <c r="S109" s="294">
        <f>S23-S55</f>
        <v>8282.0837692307687</v>
      </c>
    </row>
    <row r="112" spans="10:19" x14ac:dyDescent="0.2">
      <c r="J112" s="295"/>
      <c r="K112" s="295"/>
      <c r="L112" s="295"/>
      <c r="M112" s="296"/>
      <c r="N112" s="296"/>
      <c r="O112" s="296"/>
      <c r="P112" s="296"/>
      <c r="Q112" s="296"/>
      <c r="R112" s="296"/>
      <c r="S112" s="296"/>
    </row>
    <row r="113" spans="10:19" x14ac:dyDescent="0.2">
      <c r="J113" s="252" t="s">
        <v>259</v>
      </c>
    </row>
    <row r="114" spans="10:19" x14ac:dyDescent="0.2">
      <c r="J114" s="216" t="s">
        <v>224</v>
      </c>
      <c r="S114" s="294">
        <f>SUM(S44+S55+S66)</f>
        <v>82700</v>
      </c>
    </row>
    <row r="115" spans="10:19" x14ac:dyDescent="0.2">
      <c r="J115" s="216" t="s">
        <v>240</v>
      </c>
      <c r="S115" s="294">
        <f>SUM(S45+S56)</f>
        <v>0</v>
      </c>
    </row>
    <row r="116" spans="10:19" x14ac:dyDescent="0.2">
      <c r="J116" s="216" t="s">
        <v>241</v>
      </c>
      <c r="S116" s="294">
        <f>SUM(S46+S57)</f>
        <v>0</v>
      </c>
    </row>
    <row r="117" spans="10:19" x14ac:dyDescent="0.2">
      <c r="J117" s="216" t="s">
        <v>227</v>
      </c>
      <c r="S117" s="294">
        <f>SUM(S47+S58+S69)</f>
        <v>6326.5499999999993</v>
      </c>
    </row>
    <row r="118" spans="10:19" x14ac:dyDescent="0.2">
      <c r="J118" s="216" t="s">
        <v>228</v>
      </c>
      <c r="S118" s="294">
        <f>SUM(S48+S59+S70)</f>
        <v>8534.64</v>
      </c>
    </row>
    <row r="119" spans="10:19" x14ac:dyDescent="0.2">
      <c r="J119" s="216" t="s">
        <v>229</v>
      </c>
      <c r="S119" s="294">
        <f>SUM(S49+S60+S71)</f>
        <v>827</v>
      </c>
    </row>
    <row r="120" spans="10:19" x14ac:dyDescent="0.2">
      <c r="J120" s="216" t="s">
        <v>230</v>
      </c>
      <c r="S120" s="297">
        <v>713.81</v>
      </c>
    </row>
    <row r="121" spans="10:19" x14ac:dyDescent="0.2">
      <c r="P121" s="215" t="s">
        <v>260</v>
      </c>
      <c r="S121" s="294">
        <f>SUM(S117:S120)</f>
        <v>16402</v>
      </c>
    </row>
    <row r="122" spans="10:19" x14ac:dyDescent="0.2">
      <c r="S122" s="294"/>
    </row>
    <row r="123" spans="10:19" ht="13.5" thickBot="1" x14ac:dyDescent="0.25">
      <c r="N123" s="215" t="s">
        <v>242</v>
      </c>
      <c r="S123" s="298">
        <f>S114+S121</f>
        <v>99102</v>
      </c>
    </row>
    <row r="124" spans="10:19" ht="13.5" thickTop="1" x14ac:dyDescent="0.2"/>
  </sheetData>
  <mergeCells count="9">
    <mergeCell ref="A4:V4"/>
    <mergeCell ref="A3:V3"/>
    <mergeCell ref="A2:V2"/>
    <mergeCell ref="A1:V1"/>
    <mergeCell ref="H7:I7"/>
    <mergeCell ref="J7:K7"/>
    <mergeCell ref="O7:T7"/>
    <mergeCell ref="U7:V7"/>
    <mergeCell ref="A5:V5"/>
  </mergeCells>
  <printOptions horizontalCentered="1"/>
  <pageMargins left="0" right="0" top="0.5" bottom="0.5" header="0.3" footer="0.3"/>
  <pageSetup paperSize="5" scale="75" orientation="landscape" r:id="rId1"/>
  <headerFooter alignWithMargins="0">
    <oddFooter>&amp;R&amp;8Prepared by Mike Escaname
Health &amp; Human Services Dept. 
03/23/13</oddFooter>
  </headerFooter>
  <rowBreaks count="1" manualBreakCount="1">
    <brk id="40" max="21" man="1"/>
  </row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1" r:id="rId4">
          <objectPr defaultSize="0" autoPict="0" r:id="rId5">
            <anchor moveWithCells="1">
              <from>
                <xdr:col>13</xdr:col>
                <xdr:colOff>0</xdr:colOff>
                <xdr:row>37</xdr:row>
                <xdr:rowOff>0</xdr:rowOff>
              </from>
              <to>
                <xdr:col>14</xdr:col>
                <xdr:colOff>161925</xdr:colOff>
                <xdr:row>38</xdr:row>
                <xdr:rowOff>28575</xdr:rowOff>
              </to>
            </anchor>
          </objectPr>
        </oleObject>
      </mc:Choice>
      <mc:Fallback>
        <oleObject progId="Acrobat Document" dvAspect="DVASPECT_ICON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X43"/>
  <sheetViews>
    <sheetView view="pageBreakPreview" topLeftCell="A16" zoomScale="60" zoomScaleNormal="100" workbookViewId="0">
      <selection activeCell="C39" sqref="C39"/>
    </sheetView>
  </sheetViews>
  <sheetFormatPr defaultRowHeight="15" x14ac:dyDescent="0.25"/>
  <cols>
    <col min="1" max="1" width="9.28515625" style="112" bestFit="1" customWidth="1"/>
    <col min="2" max="2" width="10.42578125" style="112" customWidth="1"/>
    <col min="3" max="3" width="20.5703125" style="112" customWidth="1"/>
    <col min="4" max="4" width="15.85546875" style="112" customWidth="1"/>
    <col min="5" max="5" width="0" style="112" hidden="1" customWidth="1"/>
    <col min="6" max="6" width="11.5703125" style="112" customWidth="1"/>
    <col min="7" max="7" width="12.28515625" style="112" customWidth="1"/>
    <col min="8" max="8" width="11.85546875" style="112" customWidth="1"/>
    <col min="9" max="9" width="11.140625" style="112" bestFit="1" customWidth="1"/>
    <col min="10" max="10" width="9.85546875" style="112" bestFit="1" customWidth="1"/>
    <col min="11" max="12" width="9.28515625" style="112" bestFit="1" customWidth="1"/>
    <col min="13" max="13" width="11.140625" style="112" customWidth="1"/>
    <col min="14" max="14" width="10.7109375" style="112" customWidth="1"/>
    <col min="15" max="15" width="11.5703125" style="112" customWidth="1"/>
    <col min="16" max="16" width="10.140625" style="112" customWidth="1"/>
    <col min="17" max="17" width="11.140625" style="112" customWidth="1"/>
    <col min="18" max="18" width="10.7109375" style="112" customWidth="1"/>
    <col min="19" max="20" width="9.140625" style="112"/>
    <col min="21" max="21" width="10.28515625" style="112" customWidth="1"/>
    <col min="22" max="22" width="9.140625" style="112"/>
    <col min="23" max="23" width="11.85546875" style="112" customWidth="1"/>
    <col min="24" max="24" width="12.140625" style="112" customWidth="1"/>
    <col min="25" max="16384" width="9.140625" style="112"/>
  </cols>
  <sheetData>
    <row r="1" spans="1:24" ht="20.25" x14ac:dyDescent="0.3">
      <c r="A1" s="429" t="s">
        <v>261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299"/>
    </row>
    <row r="2" spans="1:24" ht="20.25" x14ac:dyDescent="0.3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299"/>
    </row>
    <row r="3" spans="1:24" ht="20.25" x14ac:dyDescent="0.3">
      <c r="A3" s="431" t="s">
        <v>1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299"/>
    </row>
    <row r="4" spans="1:24" ht="20.25" x14ac:dyDescent="0.3">
      <c r="A4" s="431" t="s">
        <v>83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299"/>
    </row>
    <row r="5" spans="1:24" ht="20.25" x14ac:dyDescent="0.3">
      <c r="A5" s="433" t="s">
        <v>2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299"/>
    </row>
    <row r="6" spans="1:24" x14ac:dyDescent="0.25">
      <c r="A6" s="300" t="s">
        <v>262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x14ac:dyDescent="0.25">
      <c r="A7" s="301"/>
      <c r="B7" s="301"/>
      <c r="C7" s="301"/>
      <c r="D7" s="301"/>
      <c r="E7" s="301"/>
      <c r="F7" s="301"/>
      <c r="G7" s="302"/>
      <c r="H7" s="302"/>
      <c r="I7" s="435" t="s">
        <v>86</v>
      </c>
      <c r="J7" s="436"/>
      <c r="K7" s="303"/>
      <c r="L7" s="303"/>
      <c r="M7" s="304">
        <v>2013</v>
      </c>
      <c r="N7" s="304">
        <v>2013</v>
      </c>
      <c r="O7" s="305"/>
      <c r="P7" s="306"/>
      <c r="Q7" s="437" t="s">
        <v>4</v>
      </c>
      <c r="R7" s="438"/>
      <c r="S7" s="438"/>
      <c r="T7" s="439"/>
      <c r="U7" s="438" t="s">
        <v>5</v>
      </c>
      <c r="V7" s="439"/>
      <c r="W7" s="307"/>
      <c r="X7" s="305"/>
    </row>
    <row r="8" spans="1:24" ht="69" customHeight="1" x14ac:dyDescent="0.25">
      <c r="A8" s="308" t="s">
        <v>6</v>
      </c>
      <c r="B8" s="308" t="s">
        <v>87</v>
      </c>
      <c r="C8" s="308" t="s">
        <v>88</v>
      </c>
      <c r="D8" s="309" t="s">
        <v>7</v>
      </c>
      <c r="E8" s="310" t="s">
        <v>89</v>
      </c>
      <c r="F8" s="311" t="s">
        <v>90</v>
      </c>
      <c r="G8" s="312" t="s">
        <v>263</v>
      </c>
      <c r="H8" s="313" t="s">
        <v>94</v>
      </c>
      <c r="I8" s="310" t="s">
        <v>95</v>
      </c>
      <c r="J8" s="310" t="s">
        <v>96</v>
      </c>
      <c r="K8" s="311" t="s">
        <v>97</v>
      </c>
      <c r="L8" s="310" t="s">
        <v>74</v>
      </c>
      <c r="M8" s="310" t="s">
        <v>75</v>
      </c>
      <c r="N8" s="310" t="s">
        <v>264</v>
      </c>
      <c r="O8" s="314" t="s">
        <v>9</v>
      </c>
      <c r="P8" s="309" t="s">
        <v>10</v>
      </c>
      <c r="Q8" s="315" t="s">
        <v>11</v>
      </c>
      <c r="R8" s="315" t="s">
        <v>77</v>
      </c>
      <c r="S8" s="315" t="s">
        <v>12</v>
      </c>
      <c r="T8" s="315" t="s">
        <v>78</v>
      </c>
      <c r="U8" s="316" t="s">
        <v>13</v>
      </c>
      <c r="V8" s="317" t="s">
        <v>14</v>
      </c>
      <c r="W8" s="318" t="s">
        <v>15</v>
      </c>
      <c r="X8" s="319" t="s">
        <v>103</v>
      </c>
    </row>
    <row r="9" spans="1:24" ht="42" customHeight="1" x14ac:dyDescent="0.25">
      <c r="A9" s="320" t="s">
        <v>193</v>
      </c>
      <c r="B9" s="137" t="s">
        <v>265</v>
      </c>
      <c r="C9" s="321" t="s">
        <v>304</v>
      </c>
      <c r="D9" s="138" t="s">
        <v>266</v>
      </c>
      <c r="E9" s="322">
        <v>61155</v>
      </c>
      <c r="F9" s="322">
        <v>61155</v>
      </c>
      <c r="G9" s="323">
        <v>61155</v>
      </c>
      <c r="H9" s="324">
        <f>G9*1.03</f>
        <v>62989.65</v>
      </c>
      <c r="I9" s="325">
        <f>G9/26/80</f>
        <v>29.40144230769231</v>
      </c>
      <c r="J9" s="325">
        <f>H9/26/80</f>
        <v>30.283485576923077</v>
      </c>
      <c r="K9" s="326">
        <v>696</v>
      </c>
      <c r="L9" s="326">
        <v>1384</v>
      </c>
      <c r="M9" s="327">
        <f>I9*K9</f>
        <v>20463.403846153848</v>
      </c>
      <c r="N9" s="327">
        <f>J9*L9</f>
        <v>41912.344038461539</v>
      </c>
      <c r="O9" s="328">
        <f>SUM(M9:N9)</f>
        <v>62375.747884615383</v>
      </c>
      <c r="P9" s="327">
        <f>O9/12</f>
        <v>5197.9789903846149</v>
      </c>
      <c r="Q9" s="329">
        <f>O9*0.0765</f>
        <v>4771.7447131730769</v>
      </c>
      <c r="R9" s="329">
        <f>O9*0.1032</f>
        <v>6437.1771816923074</v>
      </c>
      <c r="S9" s="329">
        <f>O9*0.01</f>
        <v>623.75747884615384</v>
      </c>
      <c r="T9" s="329">
        <f>O9*0.01</f>
        <v>623.75747884615384</v>
      </c>
      <c r="U9" s="330">
        <f t="shared" ref="U9:U18" si="0">ROUND((G9/F9)*4164,2)</f>
        <v>4164</v>
      </c>
      <c r="V9" s="327">
        <f t="shared" ref="V9:V18" si="1">ROUND((G9/F9)*27,2)</f>
        <v>27</v>
      </c>
      <c r="W9" s="331">
        <f>SUM(Q9:V9)</f>
        <v>16647.43685255769</v>
      </c>
      <c r="X9" s="332">
        <f>O9+W9</f>
        <v>79023.184737173069</v>
      </c>
    </row>
    <row r="10" spans="1:24" ht="42" customHeight="1" x14ac:dyDescent="0.25">
      <c r="A10" s="333" t="s">
        <v>203</v>
      </c>
      <c r="B10" s="137" t="s">
        <v>267</v>
      </c>
      <c r="C10" s="334" t="s">
        <v>304</v>
      </c>
      <c r="D10" s="138" t="s">
        <v>268</v>
      </c>
      <c r="E10" s="335" t="s">
        <v>107</v>
      </c>
      <c r="F10" s="322">
        <v>44794</v>
      </c>
      <c r="G10" s="324">
        <v>44794</v>
      </c>
      <c r="H10" s="324">
        <f t="shared" ref="H10:H18" si="2">G10*1.03</f>
        <v>46137.82</v>
      </c>
      <c r="I10" s="325">
        <f t="shared" ref="I10:J18" si="3">G10/26/80</f>
        <v>21.535576923076924</v>
      </c>
      <c r="J10" s="325">
        <f t="shared" si="3"/>
        <v>22.18164423076923</v>
      </c>
      <c r="K10" s="326">
        <v>696</v>
      </c>
      <c r="L10" s="326">
        <v>1384</v>
      </c>
      <c r="M10" s="327">
        <f t="shared" ref="M10:N18" si="4">I10*K10</f>
        <v>14988.761538461538</v>
      </c>
      <c r="N10" s="327">
        <f t="shared" si="4"/>
        <v>30699.395615384616</v>
      </c>
      <c r="O10" s="328">
        <f t="shared" ref="O10:O18" si="5">SUM(M10:N10)</f>
        <v>45688.157153846158</v>
      </c>
      <c r="P10" s="327">
        <f t="shared" ref="P10:P18" si="6">O10/12</f>
        <v>3807.3464294871796</v>
      </c>
      <c r="Q10" s="329">
        <f t="shared" ref="Q10:Q18" si="7">O10*0.0765</f>
        <v>3495.1440222692308</v>
      </c>
      <c r="R10" s="329">
        <f t="shared" ref="R10:R18" si="8">O10*0.1032</f>
        <v>4715.0178182769232</v>
      </c>
      <c r="S10" s="329">
        <f t="shared" ref="S10:S18" si="9">O10*0.01</f>
        <v>456.88157153846157</v>
      </c>
      <c r="T10" s="329">
        <f t="shared" ref="T10:T18" si="10">O10*0.01</f>
        <v>456.88157153846157</v>
      </c>
      <c r="U10" s="330">
        <f t="shared" si="0"/>
        <v>4164</v>
      </c>
      <c r="V10" s="327">
        <f t="shared" si="1"/>
        <v>27</v>
      </c>
      <c r="W10" s="331">
        <f t="shared" ref="W10:W18" si="11">SUM(Q10:V10)</f>
        <v>13314.924983623076</v>
      </c>
      <c r="X10" s="332">
        <f t="shared" ref="X10:X18" si="12">O10+W10</f>
        <v>59003.082137469231</v>
      </c>
    </row>
    <row r="11" spans="1:24" ht="44.25" customHeight="1" x14ac:dyDescent="0.25">
      <c r="A11" s="333" t="s">
        <v>269</v>
      </c>
      <c r="B11" s="137" t="s">
        <v>270</v>
      </c>
      <c r="C11" s="334" t="s">
        <v>304</v>
      </c>
      <c r="D11" s="138" t="s">
        <v>271</v>
      </c>
      <c r="E11" s="335" t="s">
        <v>107</v>
      </c>
      <c r="F11" s="322">
        <v>44794</v>
      </c>
      <c r="G11" s="324">
        <v>44794</v>
      </c>
      <c r="H11" s="324">
        <f t="shared" si="2"/>
        <v>46137.82</v>
      </c>
      <c r="I11" s="325">
        <f t="shared" si="3"/>
        <v>21.535576923076924</v>
      </c>
      <c r="J11" s="325">
        <f t="shared" si="3"/>
        <v>22.18164423076923</v>
      </c>
      <c r="K11" s="326">
        <v>696</v>
      </c>
      <c r="L11" s="326">
        <v>1384</v>
      </c>
      <c r="M11" s="327">
        <f t="shared" si="4"/>
        <v>14988.761538461538</v>
      </c>
      <c r="N11" s="327">
        <f t="shared" si="4"/>
        <v>30699.395615384616</v>
      </c>
      <c r="O11" s="328">
        <f t="shared" si="5"/>
        <v>45688.157153846158</v>
      </c>
      <c r="P11" s="327">
        <f t="shared" si="6"/>
        <v>3807.3464294871796</v>
      </c>
      <c r="Q11" s="329">
        <f t="shared" si="7"/>
        <v>3495.1440222692308</v>
      </c>
      <c r="R11" s="329">
        <f t="shared" si="8"/>
        <v>4715.0178182769232</v>
      </c>
      <c r="S11" s="329">
        <f t="shared" si="9"/>
        <v>456.88157153846157</v>
      </c>
      <c r="T11" s="329">
        <f t="shared" si="10"/>
        <v>456.88157153846157</v>
      </c>
      <c r="U11" s="330">
        <f t="shared" si="0"/>
        <v>4164</v>
      </c>
      <c r="V11" s="327">
        <f t="shared" si="1"/>
        <v>27</v>
      </c>
      <c r="W11" s="331">
        <f t="shared" si="11"/>
        <v>13314.924983623076</v>
      </c>
      <c r="X11" s="332">
        <f t="shared" si="12"/>
        <v>59003.082137469231</v>
      </c>
    </row>
    <row r="12" spans="1:24" ht="30.75" customHeight="1" x14ac:dyDescent="0.25">
      <c r="A12" s="333" t="s">
        <v>272</v>
      </c>
      <c r="B12" s="137" t="s">
        <v>273</v>
      </c>
      <c r="C12" s="334" t="s">
        <v>304</v>
      </c>
      <c r="D12" s="138" t="s">
        <v>131</v>
      </c>
      <c r="E12" s="335" t="s">
        <v>107</v>
      </c>
      <c r="F12" s="322">
        <v>43489</v>
      </c>
      <c r="G12" s="324">
        <v>43489</v>
      </c>
      <c r="H12" s="324">
        <f t="shared" si="2"/>
        <v>44793.67</v>
      </c>
      <c r="I12" s="325">
        <f t="shared" si="3"/>
        <v>20.908173076923077</v>
      </c>
      <c r="J12" s="325">
        <f t="shared" si="3"/>
        <v>21.535418269230767</v>
      </c>
      <c r="K12" s="326">
        <v>696</v>
      </c>
      <c r="L12" s="326">
        <v>1384</v>
      </c>
      <c r="M12" s="327">
        <f t="shared" si="4"/>
        <v>14552.088461538462</v>
      </c>
      <c r="N12" s="327">
        <f t="shared" si="4"/>
        <v>29805.018884615383</v>
      </c>
      <c r="O12" s="328">
        <f t="shared" si="5"/>
        <v>44357.107346153847</v>
      </c>
      <c r="P12" s="327">
        <f t="shared" si="6"/>
        <v>3696.4256121794874</v>
      </c>
      <c r="Q12" s="329">
        <f t="shared" si="7"/>
        <v>3393.3187119807694</v>
      </c>
      <c r="R12" s="329">
        <f t="shared" si="8"/>
        <v>4577.6534781230766</v>
      </c>
      <c r="S12" s="329">
        <f t="shared" si="9"/>
        <v>443.5710734615385</v>
      </c>
      <c r="T12" s="329">
        <f t="shared" si="10"/>
        <v>443.5710734615385</v>
      </c>
      <c r="U12" s="330">
        <f t="shared" si="0"/>
        <v>4164</v>
      </c>
      <c r="V12" s="327">
        <f t="shared" si="1"/>
        <v>27</v>
      </c>
      <c r="W12" s="331">
        <f t="shared" si="11"/>
        <v>13049.114337026924</v>
      </c>
      <c r="X12" s="332">
        <f t="shared" si="12"/>
        <v>57406.221683180775</v>
      </c>
    </row>
    <row r="13" spans="1:24" ht="36.75" customHeight="1" x14ac:dyDescent="0.25">
      <c r="A13" s="333" t="s">
        <v>274</v>
      </c>
      <c r="B13" s="137" t="s">
        <v>275</v>
      </c>
      <c r="C13" s="334" t="s">
        <v>304</v>
      </c>
      <c r="D13" s="138" t="s">
        <v>276</v>
      </c>
      <c r="E13" s="336" t="s">
        <v>115</v>
      </c>
      <c r="F13" s="322">
        <v>31404</v>
      </c>
      <c r="G13" s="324">
        <v>31404</v>
      </c>
      <c r="H13" s="324">
        <f t="shared" si="2"/>
        <v>32346.120000000003</v>
      </c>
      <c r="I13" s="325">
        <f t="shared" si="3"/>
        <v>15.098076923076922</v>
      </c>
      <c r="J13" s="325">
        <f t="shared" si="3"/>
        <v>15.551019230769231</v>
      </c>
      <c r="K13" s="326">
        <v>696</v>
      </c>
      <c r="L13" s="326">
        <v>1384</v>
      </c>
      <c r="M13" s="327">
        <f t="shared" si="4"/>
        <v>10508.261538461538</v>
      </c>
      <c r="N13" s="327">
        <f t="shared" si="4"/>
        <v>21522.610615384616</v>
      </c>
      <c r="O13" s="328">
        <f t="shared" si="5"/>
        <v>32030.872153846154</v>
      </c>
      <c r="P13" s="327">
        <f t="shared" si="6"/>
        <v>2669.2393461538463</v>
      </c>
      <c r="Q13" s="329">
        <f t="shared" si="7"/>
        <v>2450.3617197692306</v>
      </c>
      <c r="R13" s="329">
        <f t="shared" si="8"/>
        <v>3305.5860062769229</v>
      </c>
      <c r="S13" s="329">
        <f t="shared" si="9"/>
        <v>320.30872153846155</v>
      </c>
      <c r="T13" s="329">
        <f t="shared" si="10"/>
        <v>320.30872153846155</v>
      </c>
      <c r="U13" s="330">
        <f t="shared" si="0"/>
        <v>4164</v>
      </c>
      <c r="V13" s="327">
        <f t="shared" si="1"/>
        <v>27</v>
      </c>
      <c r="W13" s="331">
        <f t="shared" si="11"/>
        <v>10587.565169123076</v>
      </c>
      <c r="X13" s="332">
        <f t="shared" si="12"/>
        <v>42618.437322969228</v>
      </c>
    </row>
    <row r="14" spans="1:24" ht="45.75" customHeight="1" x14ac:dyDescent="0.25">
      <c r="A14" s="333" t="s">
        <v>216</v>
      </c>
      <c r="B14" s="137" t="s">
        <v>277</v>
      </c>
      <c r="C14" s="334" t="s">
        <v>304</v>
      </c>
      <c r="D14" s="138" t="s">
        <v>278</v>
      </c>
      <c r="E14" s="336" t="s">
        <v>119</v>
      </c>
      <c r="F14" s="322">
        <v>56162</v>
      </c>
      <c r="G14" s="324">
        <v>56162</v>
      </c>
      <c r="H14" s="324">
        <f t="shared" si="2"/>
        <v>57846.86</v>
      </c>
      <c r="I14" s="325">
        <f t="shared" si="3"/>
        <v>27.000961538461535</v>
      </c>
      <c r="J14" s="325">
        <f t="shared" si="3"/>
        <v>27.810990384615383</v>
      </c>
      <c r="K14" s="326">
        <v>696</v>
      </c>
      <c r="L14" s="326">
        <v>1384</v>
      </c>
      <c r="M14" s="327">
        <f t="shared" si="4"/>
        <v>18792.669230769228</v>
      </c>
      <c r="N14" s="327">
        <f t="shared" si="4"/>
        <v>38490.410692307691</v>
      </c>
      <c r="O14" s="328">
        <f t="shared" si="5"/>
        <v>57283.079923076919</v>
      </c>
      <c r="P14" s="327">
        <f t="shared" si="6"/>
        <v>4773.5899935897432</v>
      </c>
      <c r="Q14" s="329">
        <f t="shared" si="7"/>
        <v>4382.1556141153842</v>
      </c>
      <c r="R14" s="329">
        <f t="shared" si="8"/>
        <v>5911.6138480615382</v>
      </c>
      <c r="S14" s="329">
        <f t="shared" si="9"/>
        <v>572.83079923076923</v>
      </c>
      <c r="T14" s="329">
        <f t="shared" si="10"/>
        <v>572.83079923076923</v>
      </c>
      <c r="U14" s="330">
        <f t="shared" si="0"/>
        <v>4164</v>
      </c>
      <c r="V14" s="327">
        <f t="shared" si="1"/>
        <v>27</v>
      </c>
      <c r="W14" s="331">
        <f t="shared" si="11"/>
        <v>15630.431060638461</v>
      </c>
      <c r="X14" s="332">
        <f t="shared" si="12"/>
        <v>72913.510983715387</v>
      </c>
    </row>
    <row r="15" spans="1:24" ht="40.5" customHeight="1" x14ac:dyDescent="0.25">
      <c r="A15" s="333" t="s">
        <v>218</v>
      </c>
      <c r="B15" s="137" t="s">
        <v>279</v>
      </c>
      <c r="C15" s="334" t="s">
        <v>304</v>
      </c>
      <c r="D15" s="138" t="s">
        <v>280</v>
      </c>
      <c r="E15" s="336" t="s">
        <v>123</v>
      </c>
      <c r="F15" s="322">
        <v>35391</v>
      </c>
      <c r="G15" s="324">
        <v>35391</v>
      </c>
      <c r="H15" s="324">
        <f t="shared" si="2"/>
        <v>36452.730000000003</v>
      </c>
      <c r="I15" s="325">
        <f t="shared" si="3"/>
        <v>17.014903846153846</v>
      </c>
      <c r="J15" s="325">
        <f t="shared" si="3"/>
        <v>17.525350961538464</v>
      </c>
      <c r="K15" s="326">
        <v>696</v>
      </c>
      <c r="L15" s="326">
        <v>1384</v>
      </c>
      <c r="M15" s="327">
        <f t="shared" si="4"/>
        <v>11842.373076923077</v>
      </c>
      <c r="N15" s="327">
        <f t="shared" si="4"/>
        <v>24255.085730769235</v>
      </c>
      <c r="O15" s="328">
        <f t="shared" si="5"/>
        <v>36097.45880769231</v>
      </c>
      <c r="P15" s="327">
        <f t="shared" si="6"/>
        <v>3008.1215673076927</v>
      </c>
      <c r="Q15" s="329">
        <f t="shared" si="7"/>
        <v>2761.4555987884619</v>
      </c>
      <c r="R15" s="329">
        <f t="shared" si="8"/>
        <v>3725.2577489538462</v>
      </c>
      <c r="S15" s="329">
        <f t="shared" si="9"/>
        <v>360.97458807692311</v>
      </c>
      <c r="T15" s="329">
        <f t="shared" si="10"/>
        <v>360.97458807692311</v>
      </c>
      <c r="U15" s="330">
        <f t="shared" si="0"/>
        <v>4164</v>
      </c>
      <c r="V15" s="327">
        <f t="shared" si="1"/>
        <v>27</v>
      </c>
      <c r="W15" s="331">
        <f t="shared" si="11"/>
        <v>11399.662523896155</v>
      </c>
      <c r="X15" s="332">
        <f t="shared" si="12"/>
        <v>47497.121331588467</v>
      </c>
    </row>
    <row r="16" spans="1:24" ht="43.5" customHeight="1" x14ac:dyDescent="0.25">
      <c r="A16" s="333" t="s">
        <v>220</v>
      </c>
      <c r="B16" s="137" t="s">
        <v>281</v>
      </c>
      <c r="C16" s="334" t="s">
        <v>304</v>
      </c>
      <c r="D16" s="138" t="s">
        <v>282</v>
      </c>
      <c r="E16" s="336" t="s">
        <v>127</v>
      </c>
      <c r="F16" s="322">
        <v>41280</v>
      </c>
      <c r="G16" s="324">
        <v>41280</v>
      </c>
      <c r="H16" s="324">
        <f t="shared" si="2"/>
        <v>42518.400000000001</v>
      </c>
      <c r="I16" s="325">
        <f t="shared" si="3"/>
        <v>19.846153846153847</v>
      </c>
      <c r="J16" s="325">
        <f t="shared" si="3"/>
        <v>20.441538461538464</v>
      </c>
      <c r="K16" s="326">
        <v>696</v>
      </c>
      <c r="L16" s="326">
        <v>1384</v>
      </c>
      <c r="M16" s="327">
        <f t="shared" si="4"/>
        <v>13812.923076923078</v>
      </c>
      <c r="N16" s="327">
        <f t="shared" si="4"/>
        <v>28291.089230769234</v>
      </c>
      <c r="O16" s="328">
        <f t="shared" si="5"/>
        <v>42104.012307692312</v>
      </c>
      <c r="P16" s="327">
        <f t="shared" si="6"/>
        <v>3508.6676923076925</v>
      </c>
      <c r="Q16" s="329">
        <f t="shared" si="7"/>
        <v>3220.9569415384617</v>
      </c>
      <c r="R16" s="329">
        <f t="shared" si="8"/>
        <v>4345.1340701538466</v>
      </c>
      <c r="S16" s="329">
        <f t="shared" si="9"/>
        <v>421.04012307692312</v>
      </c>
      <c r="T16" s="329">
        <f t="shared" si="10"/>
        <v>421.04012307692312</v>
      </c>
      <c r="U16" s="330">
        <f t="shared" si="0"/>
        <v>4164</v>
      </c>
      <c r="V16" s="327">
        <f t="shared" si="1"/>
        <v>27</v>
      </c>
      <c r="W16" s="331">
        <f t="shared" si="11"/>
        <v>12599.171257846154</v>
      </c>
      <c r="X16" s="332">
        <f t="shared" si="12"/>
        <v>54703.183565538464</v>
      </c>
    </row>
    <row r="17" spans="1:24" ht="38.25" customHeight="1" x14ac:dyDescent="0.25">
      <c r="A17" s="333" t="s">
        <v>283</v>
      </c>
      <c r="B17" s="137" t="s">
        <v>284</v>
      </c>
      <c r="C17" s="334" t="s">
        <v>304</v>
      </c>
      <c r="D17" s="138" t="s">
        <v>280</v>
      </c>
      <c r="E17" s="336" t="s">
        <v>176</v>
      </c>
      <c r="F17" s="322">
        <v>32642</v>
      </c>
      <c r="G17" s="324">
        <v>32642</v>
      </c>
      <c r="H17" s="324">
        <f t="shared" si="2"/>
        <v>33621.26</v>
      </c>
      <c r="I17" s="325">
        <f t="shared" si="3"/>
        <v>15.693269230769232</v>
      </c>
      <c r="J17" s="325">
        <f t="shared" si="3"/>
        <v>16.16406730769231</v>
      </c>
      <c r="K17" s="326">
        <v>696</v>
      </c>
      <c r="L17" s="326">
        <v>1384</v>
      </c>
      <c r="M17" s="327">
        <f t="shared" si="4"/>
        <v>10922.515384615386</v>
      </c>
      <c r="N17" s="327">
        <f t="shared" si="4"/>
        <v>22371.069153846158</v>
      </c>
      <c r="O17" s="328">
        <f t="shared" si="5"/>
        <v>33293.584538461546</v>
      </c>
      <c r="P17" s="327">
        <f t="shared" si="6"/>
        <v>2774.4653782051287</v>
      </c>
      <c r="Q17" s="329">
        <f t="shared" si="7"/>
        <v>2546.9592171923082</v>
      </c>
      <c r="R17" s="329">
        <f t="shared" si="8"/>
        <v>3435.8979243692315</v>
      </c>
      <c r="S17" s="329">
        <f t="shared" si="9"/>
        <v>332.93584538461545</v>
      </c>
      <c r="T17" s="329">
        <f t="shared" si="10"/>
        <v>332.93584538461545</v>
      </c>
      <c r="U17" s="330">
        <f t="shared" si="0"/>
        <v>4164</v>
      </c>
      <c r="V17" s="327">
        <f t="shared" si="1"/>
        <v>27</v>
      </c>
      <c r="W17" s="331">
        <f t="shared" si="11"/>
        <v>10839.728832330769</v>
      </c>
      <c r="X17" s="332">
        <f t="shared" si="12"/>
        <v>44133.313370792312</v>
      </c>
    </row>
    <row r="18" spans="1:24" ht="36.75" customHeight="1" x14ac:dyDescent="0.25">
      <c r="A18" s="333" t="s">
        <v>285</v>
      </c>
      <c r="B18" s="137" t="s">
        <v>286</v>
      </c>
      <c r="C18" s="334" t="s">
        <v>304</v>
      </c>
      <c r="D18" s="138" t="s">
        <v>280</v>
      </c>
      <c r="E18" s="336" t="s">
        <v>287</v>
      </c>
      <c r="F18" s="322">
        <v>35391</v>
      </c>
      <c r="G18" s="324">
        <v>35391</v>
      </c>
      <c r="H18" s="324">
        <f t="shared" si="2"/>
        <v>36452.730000000003</v>
      </c>
      <c r="I18" s="325">
        <f t="shared" si="3"/>
        <v>17.014903846153846</v>
      </c>
      <c r="J18" s="325">
        <f t="shared" si="3"/>
        <v>17.525350961538464</v>
      </c>
      <c r="K18" s="326">
        <v>696</v>
      </c>
      <c r="L18" s="326">
        <v>1384</v>
      </c>
      <c r="M18" s="327">
        <f t="shared" si="4"/>
        <v>11842.373076923077</v>
      </c>
      <c r="N18" s="327">
        <f t="shared" si="4"/>
        <v>24255.085730769235</v>
      </c>
      <c r="O18" s="337">
        <f t="shared" si="5"/>
        <v>36097.45880769231</v>
      </c>
      <c r="P18" s="327">
        <f t="shared" si="6"/>
        <v>3008.1215673076927</v>
      </c>
      <c r="Q18" s="329">
        <f t="shared" si="7"/>
        <v>2761.4555987884619</v>
      </c>
      <c r="R18" s="329">
        <f t="shared" si="8"/>
        <v>3725.2577489538462</v>
      </c>
      <c r="S18" s="329">
        <f t="shared" si="9"/>
        <v>360.97458807692311</v>
      </c>
      <c r="T18" s="329">
        <f t="shared" si="10"/>
        <v>360.97458807692311</v>
      </c>
      <c r="U18" s="330">
        <f t="shared" si="0"/>
        <v>4164</v>
      </c>
      <c r="V18" s="327">
        <f t="shared" si="1"/>
        <v>27</v>
      </c>
      <c r="W18" s="331">
        <f t="shared" si="11"/>
        <v>11399.662523896155</v>
      </c>
      <c r="X18" s="332">
        <f t="shared" si="12"/>
        <v>47497.121331588467</v>
      </c>
    </row>
    <row r="19" spans="1:24" ht="21" customHeight="1" thickBot="1" x14ac:dyDescent="0.3">
      <c r="A19" s="338"/>
      <c r="B19" s="338"/>
      <c r="C19" s="338"/>
      <c r="D19" s="339"/>
      <c r="E19" s="338"/>
      <c r="F19" s="340">
        <f>SUM(F9:F18)</f>
        <v>426502</v>
      </c>
      <c r="G19" s="340">
        <f>SUM(G9:G18)</f>
        <v>426502</v>
      </c>
      <c r="H19" s="340">
        <f>SUM(H9:H18)</f>
        <v>439297.06</v>
      </c>
      <c r="I19" s="341"/>
      <c r="J19" s="342"/>
      <c r="K19" s="343"/>
      <c r="L19" s="343"/>
      <c r="M19" s="341"/>
      <c r="N19" s="341"/>
      <c r="O19" s="344">
        <f t="shared" ref="O19:W19" si="13">SUM(O9:O18)</f>
        <v>435015.63607692299</v>
      </c>
      <c r="P19" s="345">
        <f t="shared" si="13"/>
        <v>36251.303006410257</v>
      </c>
      <c r="Q19" s="346">
        <f t="shared" si="13"/>
        <v>33278.696159884617</v>
      </c>
      <c r="R19" s="347">
        <f t="shared" si="13"/>
        <v>44893.613643138458</v>
      </c>
      <c r="S19" s="347">
        <f t="shared" si="13"/>
        <v>4350.1563607692315</v>
      </c>
      <c r="T19" s="347">
        <f t="shared" si="13"/>
        <v>4350.1563607692315</v>
      </c>
      <c r="U19" s="347">
        <f t="shared" si="13"/>
        <v>41640</v>
      </c>
      <c r="V19" s="347">
        <f t="shared" si="13"/>
        <v>270</v>
      </c>
      <c r="W19" s="348">
        <f t="shared" si="13"/>
        <v>128782.62252456154</v>
      </c>
      <c r="X19" s="349">
        <f>SUM(X9:X18)</f>
        <v>563798.2586014847</v>
      </c>
    </row>
    <row r="20" spans="1:24" ht="15.75" thickTop="1" x14ac:dyDescent="0.25">
      <c r="A20" s="350"/>
      <c r="B20" s="338"/>
      <c r="C20" s="338"/>
      <c r="D20" s="339"/>
      <c r="E20" s="338"/>
      <c r="F20" s="338"/>
      <c r="G20" s="341"/>
      <c r="H20" s="341"/>
      <c r="I20" s="341"/>
      <c r="J20" s="341"/>
      <c r="K20" s="343"/>
      <c r="L20" s="343"/>
      <c r="M20" s="341"/>
      <c r="N20" s="341"/>
      <c r="O20" s="299"/>
      <c r="P20" s="299"/>
      <c r="Q20" s="299"/>
      <c r="R20" s="299"/>
      <c r="S20" s="299"/>
      <c r="T20" s="299"/>
      <c r="U20" s="299"/>
      <c r="V20" s="299"/>
      <c r="W20" s="299"/>
      <c r="X20" s="299"/>
    </row>
    <row r="21" spans="1:24" x14ac:dyDescent="0.25">
      <c r="A21" s="351" t="s">
        <v>23</v>
      </c>
      <c r="B21" s="338"/>
      <c r="C21" s="338"/>
      <c r="D21" s="339"/>
      <c r="E21" s="338"/>
      <c r="F21" s="338"/>
      <c r="G21" s="341"/>
      <c r="H21" s="341"/>
      <c r="I21" s="341"/>
      <c r="J21" s="341"/>
      <c r="K21" s="343"/>
      <c r="L21" s="343"/>
      <c r="M21" s="341"/>
      <c r="N21" s="341"/>
      <c r="O21" s="299"/>
      <c r="P21" s="299"/>
      <c r="Q21" s="299"/>
      <c r="R21" s="299"/>
      <c r="S21" s="299"/>
      <c r="T21" s="299"/>
      <c r="U21" s="299"/>
      <c r="V21" s="299"/>
      <c r="W21" s="299"/>
      <c r="X21" s="299"/>
    </row>
    <row r="22" spans="1:24" x14ac:dyDescent="0.25">
      <c r="A22" s="299">
        <v>1</v>
      </c>
      <c r="B22" s="352" t="s">
        <v>288</v>
      </c>
      <c r="C22" s="338"/>
      <c r="D22" s="339"/>
      <c r="E22" s="338"/>
      <c r="F22" s="338"/>
      <c r="G22" s="341"/>
      <c r="H22" s="341"/>
      <c r="I22" s="341"/>
      <c r="J22" s="341"/>
      <c r="K22" s="343"/>
      <c r="L22" s="343"/>
      <c r="M22" s="341"/>
      <c r="N22" s="341"/>
      <c r="O22" s="299"/>
      <c r="P22" s="299"/>
      <c r="Q22" s="299"/>
      <c r="R22" s="299"/>
      <c r="S22" s="299"/>
      <c r="T22" s="299"/>
      <c r="U22" s="299"/>
      <c r="V22" s="299"/>
      <c r="W22" s="299"/>
      <c r="X22" s="299"/>
    </row>
    <row r="23" spans="1:24" x14ac:dyDescent="0.25">
      <c r="A23" s="299">
        <v>2</v>
      </c>
      <c r="B23" s="352" t="s">
        <v>134</v>
      </c>
      <c r="C23" s="338"/>
      <c r="D23" s="338"/>
      <c r="E23" s="339"/>
      <c r="F23" s="338"/>
      <c r="G23" s="341"/>
      <c r="H23" s="341"/>
      <c r="I23" s="341"/>
      <c r="J23" s="341"/>
      <c r="K23" s="343"/>
      <c r="L23" s="343"/>
      <c r="M23" s="341"/>
      <c r="N23" s="341"/>
      <c r="O23" s="299"/>
      <c r="P23" s="299"/>
      <c r="Q23" s="299"/>
      <c r="R23" s="299"/>
      <c r="S23" s="299"/>
      <c r="T23" s="299"/>
      <c r="U23" s="299"/>
      <c r="V23" s="299"/>
      <c r="W23" s="299"/>
      <c r="X23" s="299"/>
    </row>
    <row r="24" spans="1:24" x14ac:dyDescent="0.25">
      <c r="A24" s="299">
        <v>3</v>
      </c>
      <c r="B24" s="352" t="s">
        <v>135</v>
      </c>
      <c r="C24" s="338"/>
      <c r="D24" s="338"/>
      <c r="E24" s="339"/>
      <c r="F24" s="338"/>
      <c r="G24" s="341"/>
      <c r="H24" s="341"/>
      <c r="I24" s="341"/>
      <c r="J24" s="341"/>
      <c r="K24" s="343"/>
      <c r="L24" s="343"/>
      <c r="M24" s="341"/>
      <c r="N24" s="341"/>
      <c r="O24" s="299"/>
      <c r="P24" s="299"/>
      <c r="Q24" s="299"/>
      <c r="R24" s="299"/>
      <c r="S24" s="299"/>
      <c r="T24" s="299"/>
      <c r="U24" s="299"/>
      <c r="V24" s="299"/>
      <c r="W24" s="299"/>
      <c r="X24" s="299"/>
    </row>
    <row r="25" spans="1:24" x14ac:dyDescent="0.25">
      <c r="A25" s="299">
        <v>4</v>
      </c>
      <c r="B25" s="352" t="s">
        <v>136</v>
      </c>
      <c r="C25" s="338"/>
      <c r="D25" s="338"/>
      <c r="E25" s="339"/>
      <c r="F25" s="338"/>
      <c r="G25" s="341"/>
      <c r="H25" s="341"/>
      <c r="I25" s="341"/>
      <c r="J25" s="341"/>
      <c r="K25" s="343"/>
      <c r="L25" s="343"/>
      <c r="M25" s="341"/>
      <c r="N25" s="341"/>
      <c r="O25" s="299"/>
      <c r="P25" s="299"/>
      <c r="Q25" s="299"/>
      <c r="R25" s="299"/>
      <c r="S25" s="299"/>
      <c r="T25" s="299"/>
      <c r="U25" s="299"/>
      <c r="V25" s="299"/>
      <c r="W25" s="299"/>
      <c r="X25" s="299"/>
    </row>
    <row r="26" spans="1:24" x14ac:dyDescent="0.25">
      <c r="A26" s="299"/>
      <c r="B26" s="338"/>
      <c r="C26" s="338"/>
      <c r="D26" s="339"/>
      <c r="E26" s="338"/>
      <c r="F26" s="338"/>
      <c r="G26" s="341"/>
      <c r="H26" s="341"/>
      <c r="I26" s="341"/>
      <c r="J26" s="341"/>
      <c r="K26" s="343"/>
      <c r="L26" s="343"/>
      <c r="M26" s="341"/>
      <c r="N26" s="341"/>
      <c r="O26" s="299"/>
      <c r="P26" s="299"/>
      <c r="Q26" s="299"/>
      <c r="R26" s="299"/>
      <c r="S26" s="299"/>
      <c r="T26" s="299"/>
      <c r="U26" s="299"/>
      <c r="V26" s="299"/>
      <c r="W26" s="299"/>
      <c r="X26" s="299"/>
    </row>
    <row r="27" spans="1:24" x14ac:dyDescent="0.25">
      <c r="A27" s="299"/>
      <c r="B27" s="338"/>
      <c r="C27" s="338"/>
      <c r="D27" s="339"/>
      <c r="E27" s="338"/>
      <c r="F27" s="338"/>
      <c r="G27" s="341"/>
      <c r="H27" s="341"/>
      <c r="I27" s="341"/>
      <c r="J27" s="341"/>
      <c r="K27" s="343"/>
      <c r="L27" s="343"/>
      <c r="M27" s="341"/>
      <c r="N27" s="341"/>
      <c r="O27" s="299"/>
      <c r="P27" s="299"/>
      <c r="Q27" s="299"/>
      <c r="R27" s="299"/>
      <c r="S27" s="299"/>
      <c r="T27" s="299"/>
      <c r="U27" s="299"/>
      <c r="V27" s="299"/>
      <c r="W27" s="299"/>
      <c r="X27" s="299"/>
    </row>
    <row r="28" spans="1:24" ht="18" customHeight="1" x14ac:dyDescent="0.25">
      <c r="A28" s="299">
        <v>5</v>
      </c>
      <c r="B28" s="352" t="s">
        <v>137</v>
      </c>
      <c r="C28" s="338"/>
      <c r="D28" s="339"/>
      <c r="E28" s="338"/>
      <c r="F28" s="338"/>
      <c r="G28" s="341"/>
      <c r="H28" s="341"/>
      <c r="I28" s="341"/>
      <c r="J28" s="341"/>
      <c r="K28" s="343"/>
      <c r="L28" s="343"/>
      <c r="M28" s="341"/>
      <c r="N28" s="341"/>
      <c r="O28" s="299"/>
      <c r="P28" s="299"/>
      <c r="Q28" s="299"/>
      <c r="R28" s="299"/>
      <c r="S28" s="299"/>
      <c r="T28" s="299"/>
      <c r="U28" s="299"/>
      <c r="V28" s="299"/>
      <c r="W28" s="299"/>
      <c r="X28" s="299"/>
    </row>
    <row r="29" spans="1:24" x14ac:dyDescent="0.25">
      <c r="A29" s="341"/>
      <c r="B29" s="341"/>
      <c r="C29" s="341"/>
      <c r="D29" s="353"/>
      <c r="E29" s="341"/>
      <c r="F29" s="341"/>
      <c r="G29" s="341"/>
      <c r="H29" s="341"/>
      <c r="I29" s="341"/>
      <c r="J29" s="341"/>
      <c r="K29" s="343"/>
      <c r="L29" s="343"/>
      <c r="M29" s="341"/>
      <c r="N29" s="341"/>
      <c r="O29" s="299"/>
      <c r="P29" s="299"/>
      <c r="Q29" s="299"/>
      <c r="R29" s="299"/>
      <c r="S29" s="299"/>
      <c r="T29" s="299"/>
      <c r="U29" s="299"/>
      <c r="V29" s="299"/>
      <c r="W29" s="299"/>
      <c r="X29" s="299"/>
    </row>
    <row r="30" spans="1:24" ht="18" customHeight="1" x14ac:dyDescent="0.25">
      <c r="A30" s="299">
        <v>6</v>
      </c>
      <c r="B30" s="354" t="s">
        <v>138</v>
      </c>
      <c r="C30" s="299"/>
      <c r="D30" s="299"/>
      <c r="E30" s="299"/>
      <c r="F30" s="299"/>
      <c r="G30" s="343"/>
      <c r="H30" s="343"/>
      <c r="I30" s="343"/>
      <c r="J30" s="343"/>
      <c r="K30" s="343"/>
      <c r="L30" s="343"/>
      <c r="M30" s="341"/>
      <c r="N30" s="341"/>
      <c r="O30" s="299"/>
      <c r="P30" s="299"/>
      <c r="Q30" s="299"/>
      <c r="R30" s="299"/>
      <c r="S30" s="299"/>
      <c r="T30" s="299"/>
      <c r="U30" s="299"/>
      <c r="V30" s="299"/>
      <c r="W30" s="299"/>
      <c r="X30" s="299"/>
    </row>
    <row r="33" spans="1:24" ht="26.25" x14ac:dyDescent="0.25">
      <c r="A33" s="355" t="s">
        <v>289</v>
      </c>
      <c r="B33" s="356"/>
      <c r="C33" s="356"/>
      <c r="D33" s="425"/>
      <c r="E33" s="426"/>
      <c r="F33" s="426"/>
      <c r="G33" s="356"/>
      <c r="H33" s="356"/>
      <c r="I33" s="357" t="s">
        <v>290</v>
      </c>
      <c r="J33" s="358"/>
      <c r="K33" s="358"/>
      <c r="L33" s="359"/>
      <c r="M33" s="358"/>
      <c r="N33" s="356"/>
      <c r="O33" s="360"/>
      <c r="P33" s="360"/>
      <c r="Q33" s="361"/>
      <c r="R33" s="361"/>
      <c r="S33" s="361"/>
      <c r="T33" s="361"/>
      <c r="U33" s="361"/>
      <c r="V33" s="361"/>
      <c r="W33" s="361"/>
      <c r="X33" s="361"/>
    </row>
    <row r="34" spans="1:24" ht="39" x14ac:dyDescent="0.25">
      <c r="A34" s="137"/>
      <c r="B34" s="137"/>
      <c r="C34" s="389" t="s">
        <v>304</v>
      </c>
      <c r="D34" s="362" t="s">
        <v>291</v>
      </c>
      <c r="E34" s="363" t="s">
        <v>292</v>
      </c>
      <c r="F34" s="364"/>
      <c r="G34" s="137"/>
      <c r="H34" s="137"/>
      <c r="I34" s="365">
        <v>9300</v>
      </c>
      <c r="J34" s="365"/>
      <c r="K34" s="365"/>
      <c r="L34" s="326"/>
      <c r="M34" s="365"/>
      <c r="N34" s="137"/>
      <c r="O34" s="366">
        <f>I34*0.1*12</f>
        <v>11160</v>
      </c>
      <c r="P34" s="367">
        <f>I34</f>
        <v>9300</v>
      </c>
      <c r="Q34" s="368">
        <f>SUM(O34*0.0765)</f>
        <v>853.74</v>
      </c>
      <c r="R34" s="368">
        <f>SUM(O34*0.1032)</f>
        <v>1151.712</v>
      </c>
      <c r="S34" s="368">
        <f>SUM(O34*0.01)</f>
        <v>111.60000000000001</v>
      </c>
      <c r="T34" s="368">
        <f>SUM(O34*0.01)</f>
        <v>111.60000000000001</v>
      </c>
      <c r="U34" s="367">
        <f>4164*0.1</f>
        <v>416.40000000000003</v>
      </c>
      <c r="V34" s="367">
        <f>27*0.1</f>
        <v>2.7</v>
      </c>
      <c r="W34" s="369">
        <f>SUM(Q34:V34)</f>
        <v>2647.752</v>
      </c>
      <c r="X34" s="370">
        <f>SUM(W34+O34)</f>
        <v>13807.752</v>
      </c>
    </row>
    <row r="35" spans="1:24" ht="26.25" x14ac:dyDescent="0.25">
      <c r="A35" s="371"/>
      <c r="B35" s="371"/>
      <c r="C35" s="390" t="s">
        <v>304</v>
      </c>
      <c r="D35" s="362" t="s">
        <v>293</v>
      </c>
      <c r="E35" s="363" t="s">
        <v>294</v>
      </c>
      <c r="F35" s="364"/>
      <c r="G35" s="137"/>
      <c r="H35" s="137"/>
      <c r="I35" s="324">
        <v>5778</v>
      </c>
      <c r="J35" s="324"/>
      <c r="K35" s="324"/>
      <c r="L35" s="372"/>
      <c r="M35" s="324"/>
      <c r="N35" s="371"/>
      <c r="O35" s="366">
        <f>I35*0.072*12</f>
        <v>4992.1919999999991</v>
      </c>
      <c r="P35" s="367">
        <f t="shared" ref="P35:P38" si="14">I35</f>
        <v>5778</v>
      </c>
      <c r="Q35" s="368">
        <f t="shared" ref="Q35:Q38" si="15">SUM(O35*0.0765)</f>
        <v>381.9026879999999</v>
      </c>
      <c r="R35" s="368">
        <f t="shared" ref="R35:R38" si="16">SUM(O35*0.1032)</f>
        <v>515.19421439999985</v>
      </c>
      <c r="S35" s="368">
        <f t="shared" ref="S35:S38" si="17">SUM(O35*0.01)</f>
        <v>49.921919999999993</v>
      </c>
      <c r="T35" s="368">
        <f t="shared" ref="T35:T38" si="18">SUM(O35*0.01)</f>
        <v>49.921919999999993</v>
      </c>
      <c r="U35" s="367">
        <f>4164*0.07</f>
        <v>291.48</v>
      </c>
      <c r="V35" s="367">
        <f>27*0.07</f>
        <v>1.8900000000000001</v>
      </c>
      <c r="W35" s="369">
        <f>SUM(Q35:V35)</f>
        <v>1290.3107423999998</v>
      </c>
      <c r="X35" s="370">
        <f>SUM(W35+O35)</f>
        <v>6282.5027423999991</v>
      </c>
    </row>
    <row r="36" spans="1:24" ht="26.25" x14ac:dyDescent="0.25">
      <c r="A36" s="373"/>
      <c r="B36" s="373"/>
      <c r="C36" s="391" t="s">
        <v>304</v>
      </c>
      <c r="D36" s="362" t="s">
        <v>295</v>
      </c>
      <c r="E36" s="363" t="s">
        <v>296</v>
      </c>
      <c r="F36" s="364"/>
      <c r="G36" s="137"/>
      <c r="H36" s="137"/>
      <c r="I36" s="374">
        <v>4843.92</v>
      </c>
      <c r="J36" s="371"/>
      <c r="K36" s="371"/>
      <c r="L36" s="324"/>
      <c r="M36" s="324"/>
      <c r="N36" s="371"/>
      <c r="O36" s="366">
        <f>I36*0.4*12</f>
        <v>23250.816000000003</v>
      </c>
      <c r="P36" s="367">
        <f t="shared" si="14"/>
        <v>4843.92</v>
      </c>
      <c r="Q36" s="368">
        <f t="shared" si="15"/>
        <v>1778.6874240000002</v>
      </c>
      <c r="R36" s="368">
        <f t="shared" si="16"/>
        <v>2399.4842112000001</v>
      </c>
      <c r="S36" s="368">
        <f t="shared" si="17"/>
        <v>232.50816000000003</v>
      </c>
      <c r="T36" s="368">
        <f t="shared" si="18"/>
        <v>232.50816000000003</v>
      </c>
      <c r="U36" s="367">
        <f>4164*0.4</f>
        <v>1665.6000000000001</v>
      </c>
      <c r="V36" s="367">
        <f>27*0.4</f>
        <v>10.8</v>
      </c>
      <c r="W36" s="369">
        <f>SUM(Q36:V36)</f>
        <v>6319.5879552000015</v>
      </c>
      <c r="X36" s="370">
        <f>SUM(W36+O36)</f>
        <v>29570.403955200003</v>
      </c>
    </row>
    <row r="37" spans="1:24" ht="26.25" x14ac:dyDescent="0.25">
      <c r="A37" s="373"/>
      <c r="B37" s="373"/>
      <c r="C37" s="391" t="s">
        <v>304</v>
      </c>
      <c r="D37" s="362" t="s">
        <v>297</v>
      </c>
      <c r="E37" s="363" t="s">
        <v>298</v>
      </c>
      <c r="F37" s="364"/>
      <c r="G37" s="137"/>
      <c r="H37" s="137"/>
      <c r="I37" s="374">
        <v>3440</v>
      </c>
      <c r="J37" s="371"/>
      <c r="K37" s="371"/>
      <c r="L37" s="324"/>
      <c r="M37" s="324"/>
      <c r="N37" s="371"/>
      <c r="O37" s="366">
        <f>I37*0.06078*12</f>
        <v>2508.9983999999999</v>
      </c>
      <c r="P37" s="367">
        <f t="shared" si="14"/>
        <v>3440</v>
      </c>
      <c r="Q37" s="368">
        <f>SUM(O37*0.0765)</f>
        <v>191.9383776</v>
      </c>
      <c r="R37" s="368">
        <f>SUM(O37*0.1032)</f>
        <v>258.92863488</v>
      </c>
      <c r="S37" s="368">
        <f t="shared" si="17"/>
        <v>25.089984000000001</v>
      </c>
      <c r="T37" s="368">
        <f t="shared" si="18"/>
        <v>25.089984000000001</v>
      </c>
      <c r="U37" s="367">
        <f>4164*0.06078</f>
        <v>253.08792</v>
      </c>
      <c r="V37" s="367">
        <f>27*0.06078</f>
        <v>1.64106</v>
      </c>
      <c r="W37" s="369">
        <f>SUM(Q37:V37)</f>
        <v>755.77596047999998</v>
      </c>
      <c r="X37" s="370">
        <f>SUM(W37+O37)</f>
        <v>3264.7743604799998</v>
      </c>
    </row>
    <row r="38" spans="1:24" ht="26.25" x14ac:dyDescent="0.25">
      <c r="A38" s="373"/>
      <c r="B38" s="373"/>
      <c r="C38" s="391" t="s">
        <v>304</v>
      </c>
      <c r="D38" s="362" t="s">
        <v>299</v>
      </c>
      <c r="E38" s="363" t="s">
        <v>298</v>
      </c>
      <c r="F38" s="364"/>
      <c r="G38" s="137"/>
      <c r="H38" s="137"/>
      <c r="I38" s="374">
        <v>5458.92</v>
      </c>
      <c r="J38" s="371"/>
      <c r="K38" s="371"/>
      <c r="L38" s="324"/>
      <c r="M38" s="324"/>
      <c r="N38" s="371"/>
      <c r="O38" s="366">
        <f>I38*0.07*12</f>
        <v>4585.4928</v>
      </c>
      <c r="P38" s="367">
        <f t="shared" si="14"/>
        <v>5458.92</v>
      </c>
      <c r="Q38" s="368">
        <f t="shared" si="15"/>
        <v>350.79019920000002</v>
      </c>
      <c r="R38" s="368">
        <f t="shared" si="16"/>
        <v>473.22285696</v>
      </c>
      <c r="S38" s="368">
        <f t="shared" si="17"/>
        <v>45.854928000000001</v>
      </c>
      <c r="T38" s="368">
        <f t="shared" si="18"/>
        <v>45.854928000000001</v>
      </c>
      <c r="U38" s="367">
        <f>4164*0.07</f>
        <v>291.48</v>
      </c>
      <c r="V38" s="367">
        <f>27*0.07</f>
        <v>1.8900000000000001</v>
      </c>
      <c r="W38" s="369">
        <f>SUM(Q38:V38)</f>
        <v>1209.09291216</v>
      </c>
      <c r="X38" s="370">
        <f>SUM(W38+O38)</f>
        <v>5794.5857121600002</v>
      </c>
    </row>
    <row r="39" spans="1:24" ht="16.5" thickBot="1" x14ac:dyDescent="0.3">
      <c r="A39" s="375"/>
      <c r="B39" s="375"/>
      <c r="C39" s="375"/>
      <c r="D39" s="427"/>
      <c r="E39" s="426"/>
      <c r="F39" s="426"/>
      <c r="G39" s="356"/>
      <c r="H39" s="356"/>
      <c r="I39" s="376"/>
      <c r="J39" s="376"/>
      <c r="K39" s="376"/>
      <c r="L39" s="343"/>
      <c r="M39" s="377" t="s">
        <v>300</v>
      </c>
      <c r="N39" s="376"/>
      <c r="O39" s="378">
        <f>SUM(O34:O38)</f>
        <v>46497.499199999998</v>
      </c>
      <c r="P39" s="360"/>
      <c r="Q39" s="379">
        <f t="shared" ref="Q39:W39" si="19">SUM(Q34:Q38)</f>
        <v>3557.0586888000003</v>
      </c>
      <c r="R39" s="379">
        <f t="shared" si="19"/>
        <v>4798.5419174400004</v>
      </c>
      <c r="S39" s="379">
        <f t="shared" si="19"/>
        <v>464.97499200000004</v>
      </c>
      <c r="T39" s="379">
        <f t="shared" si="19"/>
        <v>464.97499200000004</v>
      </c>
      <c r="U39" s="379">
        <f t="shared" si="19"/>
        <v>2918.0479200000004</v>
      </c>
      <c r="V39" s="379">
        <f t="shared" si="19"/>
        <v>18.921060000000001</v>
      </c>
      <c r="W39" s="378">
        <f t="shared" si="19"/>
        <v>12222.519570240001</v>
      </c>
      <c r="X39" s="370">
        <f t="shared" ref="X39" si="20">SUM(W39+O39)</f>
        <v>58720.01877024</v>
      </c>
    </row>
    <row r="40" spans="1:24" ht="15.75" thickTop="1" x14ac:dyDescent="0.25">
      <c r="A40" s="375"/>
      <c r="B40" s="375"/>
      <c r="C40" s="375"/>
      <c r="D40" s="380"/>
      <c r="E40" s="375"/>
      <c r="F40" s="376"/>
      <c r="G40" s="376"/>
      <c r="H40" s="376"/>
      <c r="I40" s="376"/>
      <c r="J40" s="376"/>
      <c r="K40" s="376"/>
      <c r="L40" s="343"/>
      <c r="M40" s="343"/>
      <c r="N40" s="376"/>
      <c r="O40" s="360"/>
      <c r="P40" s="360"/>
      <c r="Q40" s="361"/>
      <c r="R40" s="361"/>
      <c r="S40" s="361"/>
      <c r="T40" s="361"/>
      <c r="U40" s="361"/>
      <c r="V40" s="361"/>
      <c r="W40" s="361"/>
      <c r="X40" s="361"/>
    </row>
    <row r="41" spans="1:24" x14ac:dyDescent="0.25">
      <c r="A41" s="375"/>
      <c r="B41" s="375"/>
      <c r="C41" s="375"/>
      <c r="D41" s="380"/>
      <c r="E41" s="375"/>
      <c r="F41" s="376"/>
      <c r="G41" s="376"/>
      <c r="H41" s="376"/>
      <c r="I41" s="376"/>
      <c r="J41" s="376"/>
      <c r="K41" s="376"/>
      <c r="L41" s="343"/>
      <c r="M41" s="343"/>
      <c r="N41" s="376"/>
      <c r="O41" s="356"/>
      <c r="P41" s="356"/>
    </row>
    <row r="42" spans="1:24" ht="16.5" thickBot="1" x14ac:dyDescent="0.3">
      <c r="A42" s="375"/>
      <c r="B42" s="375"/>
      <c r="C42" s="375"/>
      <c r="D42" s="380"/>
      <c r="E42" s="375"/>
      <c r="F42" s="376"/>
      <c r="G42" s="376"/>
      <c r="H42" s="376"/>
      <c r="I42" s="376"/>
      <c r="J42" s="376"/>
      <c r="K42" s="376"/>
      <c r="L42" s="343"/>
      <c r="M42" s="428" t="s">
        <v>301</v>
      </c>
      <c r="N42" s="428"/>
      <c r="O42" s="381">
        <f>SUM(O30+O39)</f>
        <v>46497.499199999998</v>
      </c>
      <c r="P42" s="137"/>
      <c r="Q42" s="137"/>
      <c r="R42" s="137"/>
      <c r="S42" s="137"/>
      <c r="T42" s="137"/>
      <c r="U42" s="137"/>
      <c r="V42" s="137"/>
      <c r="W42" s="381">
        <f>SUM(W30+W39)</f>
        <v>12222.519570240001</v>
      </c>
      <c r="X42" s="370">
        <f>SUM(W42+O42)</f>
        <v>58720.01877024</v>
      </c>
    </row>
    <row r="43" spans="1:24" ht="15.75" thickTop="1" x14ac:dyDescent="0.25"/>
  </sheetData>
  <mergeCells count="11">
    <mergeCell ref="D33:F33"/>
    <mergeCell ref="D39:F39"/>
    <mergeCell ref="M42:N42"/>
    <mergeCell ref="A1:W1"/>
    <mergeCell ref="A2:W2"/>
    <mergeCell ref="A3:W3"/>
    <mergeCell ref="A4:W4"/>
    <mergeCell ref="A5:W5"/>
    <mergeCell ref="I7:J7"/>
    <mergeCell ref="Q7:T7"/>
    <mergeCell ref="U7:V7"/>
  </mergeCells>
  <pageMargins left="0" right="0" top="0.75" bottom="0.75" header="0.3" footer="0.3"/>
  <pageSetup paperSize="5" scale="61" orientation="landscape" r:id="rId1"/>
  <rowBreaks count="1" manualBreakCount="1">
    <brk id="31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145" r:id="rId4">
          <objectPr defaultSize="0" autoPict="0" r:id="rId5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1028700</xdr:colOff>
                <xdr:row>30</xdr:row>
                <xdr:rowOff>47625</xdr:rowOff>
              </to>
            </anchor>
          </objectPr>
        </oleObject>
      </mc:Choice>
      <mc:Fallback>
        <oleObject progId="Acrobat Document" dvAspect="DVASPECT_ICON" shapeId="6145" r:id="rId4"/>
      </mc:Fallback>
    </mc:AlternateContent>
    <mc:AlternateContent xmlns:mc="http://schemas.openxmlformats.org/markup-compatibility/2006">
      <mc:Choice Requires="x14">
        <oleObject progId="Acrobat Document" dvAspect="DVASPECT_ICON" shapeId="6146" r:id="rId6">
          <objectPr defaultSize="0" autoPict="0" r:id="rId7">
            <anchor mov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1028700</xdr:colOff>
                <xdr:row>28</xdr:row>
                <xdr:rowOff>9525</xdr:rowOff>
              </to>
            </anchor>
          </objectPr>
        </oleObject>
      </mc:Choice>
      <mc:Fallback>
        <oleObject progId="Acrobat Document" dvAspect="DVASPECT_ICON" shapeId="614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44"/>
  <sheetViews>
    <sheetView view="pageBreakPreview" zoomScale="60" zoomScaleNormal="100" workbookViewId="0">
      <selection activeCell="D67" sqref="D67"/>
    </sheetView>
  </sheetViews>
  <sheetFormatPr defaultRowHeight="12.75" x14ac:dyDescent="0.2"/>
  <cols>
    <col min="1" max="1" width="7.140625" customWidth="1"/>
    <col min="2" max="2" width="21.85546875" customWidth="1"/>
    <col min="3" max="3" width="12.42578125" customWidth="1"/>
    <col min="4" max="4" width="12.28515625" customWidth="1"/>
    <col min="5" max="5" width="2" customWidth="1"/>
    <col min="6" max="6" width="7.140625" customWidth="1"/>
    <col min="7" max="7" width="21.85546875" customWidth="1"/>
    <col min="8" max="8" width="12.42578125" customWidth="1"/>
    <col min="9" max="9" width="12.28515625" customWidth="1"/>
    <col min="10" max="10" width="23.7109375" customWidth="1"/>
  </cols>
  <sheetData>
    <row r="1" spans="1:9" x14ac:dyDescent="0.2">
      <c r="A1" s="43" t="s">
        <v>24</v>
      </c>
      <c r="E1" s="44"/>
      <c r="F1" s="43" t="s">
        <v>302</v>
      </c>
    </row>
    <row r="2" spans="1:9" x14ac:dyDescent="0.2">
      <c r="A2" s="45" t="s">
        <v>35</v>
      </c>
      <c r="E2" s="44"/>
    </row>
    <row r="3" spans="1:9" x14ac:dyDescent="0.2">
      <c r="E3" s="44"/>
    </row>
    <row r="4" spans="1:9" ht="25.5" x14ac:dyDescent="0.2">
      <c r="A4" s="46" t="s">
        <v>25</v>
      </c>
      <c r="B4" s="10" t="s">
        <v>26</v>
      </c>
      <c r="C4" s="47" t="s">
        <v>27</v>
      </c>
      <c r="D4" s="10" t="s">
        <v>28</v>
      </c>
      <c r="E4" s="48"/>
      <c r="F4" s="46" t="s">
        <v>25</v>
      </c>
      <c r="G4" s="10" t="s">
        <v>26</v>
      </c>
      <c r="H4" s="47" t="s">
        <v>27</v>
      </c>
      <c r="I4" s="10" t="s">
        <v>28</v>
      </c>
    </row>
    <row r="5" spans="1:9" x14ac:dyDescent="0.2">
      <c r="A5" s="49"/>
      <c r="B5" s="50"/>
      <c r="C5" s="51"/>
      <c r="D5" s="52"/>
      <c r="E5" s="44"/>
      <c r="F5" s="53">
        <v>1</v>
      </c>
      <c r="G5" s="54" t="s">
        <v>44</v>
      </c>
      <c r="H5" s="55">
        <v>41649</v>
      </c>
      <c r="I5" s="53">
        <v>10</v>
      </c>
    </row>
    <row r="6" spans="1:9" x14ac:dyDescent="0.2">
      <c r="A6" s="56"/>
      <c r="B6" s="57"/>
      <c r="C6" s="58"/>
      <c r="D6" s="59"/>
      <c r="E6" s="44"/>
      <c r="F6" s="60">
        <v>2</v>
      </c>
      <c r="G6" s="61" t="s">
        <v>45</v>
      </c>
      <c r="H6" s="62">
        <v>41663</v>
      </c>
      <c r="I6" s="60">
        <v>10</v>
      </c>
    </row>
    <row r="7" spans="1:9" x14ac:dyDescent="0.2">
      <c r="A7" s="56"/>
      <c r="B7" s="57"/>
      <c r="C7" s="58"/>
      <c r="D7" s="59"/>
      <c r="E7" s="44"/>
      <c r="F7" s="60">
        <v>3</v>
      </c>
      <c r="G7" s="61" t="s">
        <v>46</v>
      </c>
      <c r="H7" s="62">
        <v>41677</v>
      </c>
      <c r="I7" s="60">
        <v>10</v>
      </c>
    </row>
    <row r="8" spans="1:9" x14ac:dyDescent="0.2">
      <c r="A8" s="56"/>
      <c r="B8" s="57"/>
      <c r="C8" s="58"/>
      <c r="D8" s="59"/>
      <c r="E8" s="44"/>
      <c r="F8" s="60">
        <v>4</v>
      </c>
      <c r="G8" s="61" t="s">
        <v>47</v>
      </c>
      <c r="H8" s="62">
        <v>41691</v>
      </c>
      <c r="I8" s="60">
        <v>10</v>
      </c>
    </row>
    <row r="9" spans="1:9" x14ac:dyDescent="0.2">
      <c r="A9" s="56"/>
      <c r="B9" s="57"/>
      <c r="C9" s="58"/>
      <c r="D9" s="59"/>
      <c r="E9" s="44"/>
      <c r="F9" s="60">
        <v>5</v>
      </c>
      <c r="G9" s="61" t="s">
        <v>48</v>
      </c>
      <c r="H9" s="62">
        <v>41705</v>
      </c>
      <c r="I9" s="60">
        <v>10</v>
      </c>
    </row>
    <row r="10" spans="1:9" x14ac:dyDescent="0.2">
      <c r="A10" s="56"/>
      <c r="B10" s="57"/>
      <c r="C10" s="58"/>
      <c r="D10" s="59"/>
      <c r="E10" s="44"/>
      <c r="F10" s="60">
        <v>6</v>
      </c>
      <c r="G10" s="61" t="s">
        <v>49</v>
      </c>
      <c r="H10" s="62">
        <v>41719</v>
      </c>
      <c r="I10" s="60">
        <v>10</v>
      </c>
    </row>
    <row r="11" spans="1:9" x14ac:dyDescent="0.2">
      <c r="A11" s="56"/>
      <c r="B11" s="57"/>
      <c r="C11" s="58"/>
      <c r="D11" s="59"/>
      <c r="E11" s="44"/>
      <c r="F11" s="60">
        <v>7</v>
      </c>
      <c r="G11" s="61" t="s">
        <v>50</v>
      </c>
      <c r="H11" s="62">
        <v>41733</v>
      </c>
      <c r="I11" s="60">
        <v>10</v>
      </c>
    </row>
    <row r="12" spans="1:9" x14ac:dyDescent="0.2">
      <c r="A12" s="56"/>
      <c r="B12" s="57"/>
      <c r="C12" s="58"/>
      <c r="D12" s="59"/>
      <c r="E12" s="44"/>
      <c r="F12" s="60">
        <v>8</v>
      </c>
      <c r="G12" s="61" t="s">
        <v>51</v>
      </c>
      <c r="H12" s="62">
        <v>41747</v>
      </c>
      <c r="I12" s="60">
        <v>10</v>
      </c>
    </row>
    <row r="13" spans="1:9" x14ac:dyDescent="0.2">
      <c r="A13" s="56"/>
      <c r="B13" s="57"/>
      <c r="C13" s="58"/>
      <c r="D13" s="59"/>
      <c r="E13" s="44"/>
      <c r="F13" s="60">
        <v>9</v>
      </c>
      <c r="G13" s="61" t="s">
        <v>52</v>
      </c>
      <c r="H13" s="62">
        <v>41761</v>
      </c>
      <c r="I13" s="60">
        <v>10</v>
      </c>
    </row>
    <row r="14" spans="1:9" x14ac:dyDescent="0.2">
      <c r="A14" s="56"/>
      <c r="B14" s="57"/>
      <c r="C14" s="58"/>
      <c r="D14" s="59"/>
      <c r="E14" s="44"/>
      <c r="F14" s="60">
        <v>10</v>
      </c>
      <c r="G14" s="61" t="s">
        <v>53</v>
      </c>
      <c r="H14" s="62">
        <v>41775</v>
      </c>
      <c r="I14" s="60">
        <v>10</v>
      </c>
    </row>
    <row r="15" spans="1:9" x14ac:dyDescent="0.2">
      <c r="A15" s="56"/>
      <c r="B15" s="57"/>
      <c r="C15" s="58"/>
      <c r="D15" s="59"/>
      <c r="E15" s="44"/>
      <c r="F15" s="60">
        <v>11</v>
      </c>
      <c r="G15" s="61" t="s">
        <v>54</v>
      </c>
      <c r="H15" s="62">
        <v>41789</v>
      </c>
      <c r="I15" s="60">
        <v>10</v>
      </c>
    </row>
    <row r="16" spans="1:9" x14ac:dyDescent="0.2">
      <c r="A16" s="56"/>
      <c r="B16" s="57"/>
      <c r="C16" s="58"/>
      <c r="D16" s="59"/>
      <c r="E16" s="44"/>
      <c r="F16" s="60">
        <v>12</v>
      </c>
      <c r="G16" s="61" t="s">
        <v>55</v>
      </c>
      <c r="H16" s="62">
        <v>41803</v>
      </c>
      <c r="I16" s="60">
        <v>10</v>
      </c>
    </row>
    <row r="17" spans="1:10" x14ac:dyDescent="0.2">
      <c r="A17" s="56"/>
      <c r="B17" s="57"/>
      <c r="C17" s="58"/>
      <c r="D17" s="59"/>
      <c r="E17" s="44"/>
      <c r="F17" s="60">
        <v>13</v>
      </c>
      <c r="G17" s="61" t="s">
        <v>56</v>
      </c>
      <c r="H17" s="62">
        <v>41817</v>
      </c>
      <c r="I17" s="60">
        <v>10</v>
      </c>
    </row>
    <row r="18" spans="1:10" x14ac:dyDescent="0.2">
      <c r="A18" s="56"/>
      <c r="B18" s="57"/>
      <c r="C18" s="58"/>
      <c r="D18" s="59"/>
      <c r="E18" s="44"/>
      <c r="F18" s="60">
        <v>14</v>
      </c>
      <c r="G18" s="61" t="s">
        <v>57</v>
      </c>
      <c r="H18" s="62">
        <v>41831</v>
      </c>
      <c r="I18" s="60">
        <v>10</v>
      </c>
    </row>
    <row r="19" spans="1:10" x14ac:dyDescent="0.2">
      <c r="A19" s="56"/>
      <c r="B19" s="57"/>
      <c r="C19" s="58"/>
      <c r="D19" s="59"/>
      <c r="E19" s="44"/>
      <c r="F19" s="60">
        <v>15</v>
      </c>
      <c r="G19" s="61" t="s">
        <v>58</v>
      </c>
      <c r="H19" s="62">
        <v>41845</v>
      </c>
      <c r="I19" s="60">
        <v>10</v>
      </c>
    </row>
    <row r="20" spans="1:10" x14ac:dyDescent="0.2">
      <c r="A20" s="56"/>
      <c r="B20" s="57"/>
      <c r="C20" s="58"/>
      <c r="D20" s="59"/>
      <c r="E20" s="44"/>
      <c r="F20" s="60">
        <v>16</v>
      </c>
      <c r="G20" s="61" t="s">
        <v>59</v>
      </c>
      <c r="H20" s="62">
        <v>41859</v>
      </c>
      <c r="I20" s="60">
        <v>10</v>
      </c>
    </row>
    <row r="21" spans="1:10" x14ac:dyDescent="0.2">
      <c r="A21" s="63"/>
      <c r="B21" s="64"/>
      <c r="C21" s="65"/>
      <c r="D21" s="66"/>
      <c r="E21" s="44"/>
      <c r="F21" s="60">
        <v>17</v>
      </c>
      <c r="G21" s="61" t="s">
        <v>60</v>
      </c>
      <c r="H21" s="62">
        <v>41873</v>
      </c>
      <c r="I21" s="60">
        <v>10</v>
      </c>
    </row>
    <row r="22" spans="1:10" x14ac:dyDescent="0.2">
      <c r="A22" s="63"/>
      <c r="B22" s="64"/>
      <c r="C22" s="65"/>
      <c r="D22" s="66"/>
      <c r="E22" s="44"/>
      <c r="F22" s="60">
        <v>18</v>
      </c>
      <c r="G22" s="61" t="s">
        <v>61</v>
      </c>
      <c r="H22" s="62">
        <v>41887</v>
      </c>
      <c r="I22" s="60">
        <v>10</v>
      </c>
    </row>
    <row r="23" spans="1:10" x14ac:dyDescent="0.2">
      <c r="A23" s="63">
        <v>19</v>
      </c>
      <c r="B23" s="67" t="s">
        <v>29</v>
      </c>
      <c r="C23" s="65">
        <v>41537</v>
      </c>
      <c r="D23" s="66">
        <v>5</v>
      </c>
      <c r="E23" s="44"/>
      <c r="F23" s="60">
        <v>19</v>
      </c>
      <c r="G23" s="61" t="s">
        <v>62</v>
      </c>
      <c r="H23" s="62">
        <v>41901</v>
      </c>
      <c r="I23" s="68">
        <v>5</v>
      </c>
      <c r="J23" s="69" t="s">
        <v>66</v>
      </c>
    </row>
    <row r="24" spans="1:10" x14ac:dyDescent="0.2">
      <c r="A24" s="70">
        <v>19</v>
      </c>
      <c r="B24" s="61" t="s">
        <v>36</v>
      </c>
      <c r="C24" s="71">
        <v>41537</v>
      </c>
      <c r="D24" s="72">
        <v>5</v>
      </c>
      <c r="E24" s="44"/>
      <c r="F24" s="64"/>
      <c r="G24" s="64"/>
      <c r="H24" s="57"/>
      <c r="I24" s="57"/>
    </row>
    <row r="25" spans="1:10" x14ac:dyDescent="0.2">
      <c r="A25" s="70">
        <v>20</v>
      </c>
      <c r="B25" s="61" t="s">
        <v>37</v>
      </c>
      <c r="C25" s="71">
        <v>41551</v>
      </c>
      <c r="D25" s="72">
        <v>10</v>
      </c>
      <c r="E25" s="44"/>
      <c r="F25" s="57"/>
      <c r="G25" s="57"/>
      <c r="H25" s="57"/>
      <c r="I25" s="57"/>
    </row>
    <row r="26" spans="1:10" x14ac:dyDescent="0.2">
      <c r="A26" s="70">
        <v>21</v>
      </c>
      <c r="B26" s="61" t="s">
        <v>38</v>
      </c>
      <c r="C26" s="71">
        <v>41565</v>
      </c>
      <c r="D26" s="72">
        <v>10</v>
      </c>
      <c r="E26" s="44"/>
      <c r="F26" s="57"/>
      <c r="G26" s="57"/>
      <c r="H26" s="57"/>
      <c r="I26" s="57"/>
    </row>
    <row r="27" spans="1:10" x14ac:dyDescent="0.2">
      <c r="A27" s="70">
        <v>22</v>
      </c>
      <c r="B27" s="61" t="s">
        <v>39</v>
      </c>
      <c r="C27" s="71">
        <v>41579</v>
      </c>
      <c r="D27" s="72">
        <v>10</v>
      </c>
      <c r="E27" s="44"/>
      <c r="F27" s="57"/>
      <c r="G27" s="57"/>
      <c r="H27" s="57"/>
      <c r="I27" s="57"/>
    </row>
    <row r="28" spans="1:10" x14ac:dyDescent="0.2">
      <c r="A28" s="70">
        <v>23</v>
      </c>
      <c r="B28" s="61" t="s">
        <v>40</v>
      </c>
      <c r="C28" s="71">
        <v>41593</v>
      </c>
      <c r="D28" s="72">
        <v>10</v>
      </c>
      <c r="E28" s="44"/>
      <c r="F28" s="57"/>
      <c r="G28" s="57"/>
      <c r="H28" s="57"/>
      <c r="I28" s="57"/>
    </row>
    <row r="29" spans="1:10" x14ac:dyDescent="0.2">
      <c r="A29" s="70">
        <v>24</v>
      </c>
      <c r="B29" s="73" t="s">
        <v>41</v>
      </c>
      <c r="C29" s="71">
        <v>41605</v>
      </c>
      <c r="D29" s="72">
        <v>10</v>
      </c>
      <c r="E29" s="44"/>
      <c r="F29" s="57"/>
      <c r="G29" s="57"/>
      <c r="H29" s="57"/>
      <c r="I29" s="57"/>
    </row>
    <row r="30" spans="1:10" x14ac:dyDescent="0.2">
      <c r="A30" s="70">
        <v>25</v>
      </c>
      <c r="B30" s="61" t="s">
        <v>42</v>
      </c>
      <c r="C30" s="71">
        <v>41621</v>
      </c>
      <c r="D30" s="72">
        <v>10</v>
      </c>
      <c r="E30" s="44"/>
      <c r="F30" s="57"/>
      <c r="G30" s="57"/>
      <c r="H30" s="57"/>
      <c r="I30" s="57"/>
    </row>
    <row r="31" spans="1:10" x14ac:dyDescent="0.2">
      <c r="A31" s="74">
        <v>26</v>
      </c>
      <c r="B31" s="75" t="s">
        <v>43</v>
      </c>
      <c r="C31" s="76">
        <v>41635</v>
      </c>
      <c r="D31" s="77">
        <v>10</v>
      </c>
      <c r="E31" s="44"/>
      <c r="F31" s="78"/>
      <c r="G31" s="78"/>
      <c r="H31" s="78"/>
      <c r="I31" s="78"/>
    </row>
    <row r="33" spans="1:8" x14ac:dyDescent="0.2">
      <c r="A33" s="79"/>
      <c r="B33" s="79"/>
      <c r="C33" s="79"/>
      <c r="D33" s="79"/>
    </row>
    <row r="34" spans="1:8" x14ac:dyDescent="0.2">
      <c r="A34" s="79"/>
      <c r="B34" s="79"/>
      <c r="C34" s="79"/>
      <c r="D34" s="79"/>
      <c r="F34" s="35"/>
      <c r="G34" s="35"/>
    </row>
    <row r="35" spans="1:8" x14ac:dyDescent="0.2">
      <c r="B35" s="80" t="s">
        <v>63</v>
      </c>
      <c r="D35" s="81">
        <v>87</v>
      </c>
      <c r="F35" s="35"/>
      <c r="G35" s="35"/>
    </row>
    <row r="36" spans="1:8" x14ac:dyDescent="0.2">
      <c r="B36" s="80" t="s">
        <v>64</v>
      </c>
      <c r="D36" s="82">
        <v>173</v>
      </c>
      <c r="F36" s="35"/>
      <c r="G36" s="35"/>
    </row>
    <row r="37" spans="1:8" x14ac:dyDescent="0.2">
      <c r="D37" s="83">
        <f>SUM(D35:D36)</f>
        <v>260</v>
      </c>
      <c r="F37" s="35"/>
      <c r="G37" s="35"/>
    </row>
    <row r="38" spans="1:8" x14ac:dyDescent="0.2">
      <c r="C38" s="80" t="s">
        <v>30</v>
      </c>
      <c r="D38" s="82">
        <v>8</v>
      </c>
      <c r="F38" s="84"/>
      <c r="G38" s="35"/>
    </row>
    <row r="39" spans="1:8" ht="14.25" customHeight="1" thickBot="1" x14ac:dyDescent="0.25">
      <c r="B39" s="85" t="s">
        <v>31</v>
      </c>
      <c r="C39" s="85"/>
      <c r="D39" s="86">
        <f>D37*D38</f>
        <v>2080</v>
      </c>
      <c r="F39" s="35"/>
      <c r="G39" s="35"/>
    </row>
    <row r="40" spans="1:8" ht="13.5" thickTop="1" x14ac:dyDescent="0.2">
      <c r="F40" s="87"/>
      <c r="G40" s="88"/>
    </row>
    <row r="41" spans="1:8" x14ac:dyDescent="0.2">
      <c r="H41" t="s">
        <v>3</v>
      </c>
    </row>
    <row r="42" spans="1:8" x14ac:dyDescent="0.2">
      <c r="B42" t="s">
        <v>32</v>
      </c>
      <c r="F42" s="83">
        <f>SUM(D35)</f>
        <v>87</v>
      </c>
      <c r="H42">
        <f>F42*8</f>
        <v>696</v>
      </c>
    </row>
    <row r="43" spans="1:8" x14ac:dyDescent="0.2">
      <c r="B43" t="s">
        <v>65</v>
      </c>
      <c r="F43" s="82">
        <f>SUM(D36)</f>
        <v>173</v>
      </c>
      <c r="H43" s="82">
        <f>F43*8</f>
        <v>1384</v>
      </c>
    </row>
    <row r="44" spans="1:8" x14ac:dyDescent="0.2">
      <c r="F44">
        <f>SUM(F42:F43)</f>
        <v>260</v>
      </c>
      <c r="H44" s="89">
        <f>SUM(H42:H43)</f>
        <v>2080</v>
      </c>
    </row>
  </sheetData>
  <pageMargins left="0.75" right="0.75" top="1" bottom="1" header="0.5" footer="0.5"/>
  <pageSetup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RLSS LPHS</vt:lpstr>
      <vt:lpstr>TB STATE (CONTROL) </vt:lpstr>
      <vt:lpstr>TB FEDERAL (ELIMINATION)</vt:lpstr>
      <vt:lpstr>IMMUNIZATION</vt:lpstr>
      <vt:lpstr>PHEP</vt:lpstr>
      <vt:lpstr>FY 14 No Of Work Hours</vt:lpstr>
      <vt:lpstr>Sheet1</vt:lpstr>
      <vt:lpstr>IMMUNIZATION!Print_Area</vt:lpstr>
      <vt:lpstr>'TB STATE (CONTROL) '!Print_Area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Veronica Ortiz</cp:lastModifiedBy>
  <cp:lastPrinted>2013-08-26T19:22:38Z</cp:lastPrinted>
  <dcterms:created xsi:type="dcterms:W3CDTF">2011-08-29T20:24:28Z</dcterms:created>
  <dcterms:modified xsi:type="dcterms:W3CDTF">2013-08-26T19:41:09Z</dcterms:modified>
</cp:coreProperties>
</file>