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5480" windowHeight="11640" firstSheet="2" activeTab="3"/>
  </bookViews>
  <sheets>
    <sheet name="Budget Analysis 070912" sheetId="9" r:id="rId1"/>
    <sheet name="TB CONTRL FY 12 SAL PROJ 070912" sheetId="10" r:id="rId2"/>
    <sheet name="Budget Analysis" sheetId="5" r:id="rId3"/>
    <sheet name="TB ELIMINATION FY 14 SAL PROJ " sheetId="3" r:id="rId4"/>
    <sheet name="Sheet1" sheetId="11" r:id="rId5"/>
  </sheets>
  <definedNames>
    <definedName name="_xlnm.Print_Area" localSheetId="2">'Budget Analysis'!$A$1:$S$41</definedName>
    <definedName name="_xlnm.Print_Area" localSheetId="0">'Budget Analysis 070912'!$A$1:$O$50</definedName>
    <definedName name="_xlnm.Print_Area" localSheetId="3">'TB ELIMINATION FY 14 SAL PROJ '!$A$41:$F$126</definedName>
  </definedNames>
  <calcPr calcId="145621"/>
</workbook>
</file>

<file path=xl/calcChain.xml><?xml version="1.0" encoding="utf-8"?>
<calcChain xmlns="http://schemas.openxmlformats.org/spreadsheetml/2006/main">
  <c r="I24" i="5" l="1"/>
  <c r="I15" i="3"/>
  <c r="I16" i="3"/>
  <c r="I17" i="3"/>
  <c r="I18" i="3"/>
  <c r="I19" i="3"/>
  <c r="I14" i="3"/>
  <c r="I11" i="3"/>
  <c r="O9" i="5"/>
  <c r="O10" i="5"/>
  <c r="O11" i="5"/>
  <c r="O12" i="5"/>
  <c r="O13" i="5"/>
  <c r="O8" i="5"/>
  <c r="O5" i="5"/>
  <c r="N11" i="5"/>
  <c r="N13" i="5"/>
  <c r="M13" i="5"/>
  <c r="N12" i="5"/>
  <c r="M12" i="5"/>
  <c r="M11" i="5"/>
  <c r="N10" i="5"/>
  <c r="M10" i="5"/>
  <c r="N9" i="5"/>
  <c r="M9" i="5"/>
  <c r="N8" i="5"/>
  <c r="M8" i="5"/>
  <c r="N5" i="5"/>
  <c r="M5" i="5"/>
  <c r="E125" i="3" l="1"/>
  <c r="D125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11" i="3"/>
  <c r="E105" i="3"/>
  <c r="D105" i="3"/>
  <c r="E95" i="3"/>
  <c r="D95" i="3"/>
  <c r="E85" i="3"/>
  <c r="D85" i="3"/>
  <c r="E75" i="3"/>
  <c r="D75" i="3"/>
  <c r="E65" i="3"/>
  <c r="D65" i="3"/>
  <c r="E58" i="3"/>
  <c r="D58" i="3"/>
  <c r="E49" i="3"/>
  <c r="E107" i="3" s="1"/>
  <c r="E127" i="3" s="1"/>
  <c r="D49" i="3"/>
  <c r="D107" i="3" s="1"/>
  <c r="D127" i="3" s="1"/>
  <c r="F58" i="3" l="1"/>
  <c r="F65" i="3"/>
  <c r="F75" i="3"/>
  <c r="F85" i="3"/>
  <c r="F95" i="3"/>
  <c r="F105" i="3"/>
  <c r="F125" i="3"/>
  <c r="F49" i="3"/>
  <c r="D11" i="3"/>
  <c r="L5" i="5"/>
  <c r="L17" i="5"/>
  <c r="L13" i="5"/>
  <c r="L12" i="5"/>
  <c r="L11" i="5"/>
  <c r="L10" i="5"/>
  <c r="L9" i="5"/>
  <c r="L8" i="5"/>
  <c r="H35" i="5"/>
  <c r="H36" i="5"/>
  <c r="H37" i="5"/>
  <c r="H34" i="5"/>
  <c r="H24" i="5"/>
  <c r="H25" i="5"/>
  <c r="H26" i="5"/>
  <c r="H27" i="5"/>
  <c r="H28" i="5"/>
  <c r="H23" i="5"/>
  <c r="H16" i="5"/>
  <c r="H9" i="5"/>
  <c r="H10" i="5"/>
  <c r="H11" i="5"/>
  <c r="H12" i="5"/>
  <c r="H13" i="5"/>
  <c r="H8" i="5"/>
  <c r="H6" i="5"/>
  <c r="H5" i="5"/>
  <c r="F18" i="5"/>
  <c r="G41" i="5"/>
  <c r="G14" i="5"/>
  <c r="F14" i="5"/>
  <c r="G6" i="5"/>
  <c r="F6" i="5"/>
  <c r="F107" i="3" l="1"/>
  <c r="F127" i="3" s="1"/>
  <c r="O6" i="5"/>
  <c r="O14" i="5" l="1"/>
  <c r="L29" i="5" l="1"/>
  <c r="J37" i="5" l="1"/>
  <c r="R37" i="5" s="1"/>
  <c r="I18" i="5"/>
  <c r="I14" i="5"/>
  <c r="I6" i="5"/>
  <c r="E27" i="5"/>
  <c r="J27" i="5" s="1"/>
  <c r="R27" i="5" s="1"/>
  <c r="H32" i="5"/>
  <c r="J25" i="5"/>
  <c r="R25" i="5" s="1"/>
  <c r="J26" i="5"/>
  <c r="R26" i="5" s="1"/>
  <c r="D29" i="5"/>
  <c r="F29" i="5"/>
  <c r="E28" i="5"/>
  <c r="J28" i="5" s="1"/>
  <c r="R28" i="5" s="1"/>
  <c r="C29" i="5"/>
  <c r="E17" i="5"/>
  <c r="H17" i="5" s="1"/>
  <c r="J17" i="5" s="1"/>
  <c r="R17" i="5" s="1"/>
  <c r="E16" i="5"/>
  <c r="H18" i="5" s="1"/>
  <c r="E35" i="5"/>
  <c r="J35" i="5" s="1"/>
  <c r="R35" i="5" s="1"/>
  <c r="E36" i="5"/>
  <c r="J36" i="5" s="1"/>
  <c r="R36" i="5" s="1"/>
  <c r="E34" i="5"/>
  <c r="J34" i="5" s="1"/>
  <c r="R34" i="5" s="1"/>
  <c r="E24" i="5"/>
  <c r="J24" i="5" s="1"/>
  <c r="R24" i="5" s="1"/>
  <c r="E23" i="5"/>
  <c r="J23" i="5" s="1"/>
  <c r="R23" i="5" s="1"/>
  <c r="J16" i="5" l="1"/>
  <c r="R16" i="5" s="1"/>
  <c r="J29" i="5"/>
  <c r="H38" i="5"/>
  <c r="H29" i="5"/>
  <c r="E29" i="5"/>
  <c r="D14" i="5"/>
  <c r="E9" i="5"/>
  <c r="J9" i="5" s="1"/>
  <c r="E10" i="5"/>
  <c r="J10" i="5" s="1"/>
  <c r="E11" i="5"/>
  <c r="J11" i="5" s="1"/>
  <c r="E12" i="5"/>
  <c r="J12" i="5" s="1"/>
  <c r="E8" i="5"/>
  <c r="J8" i="5" s="1"/>
  <c r="D6" i="5"/>
  <c r="E5" i="5"/>
  <c r="J5" i="5" l="1"/>
  <c r="E13" i="5"/>
  <c r="D41" i="5"/>
  <c r="H14" i="5" l="1"/>
  <c r="H41" i="5" s="1"/>
  <c r="J13" i="5"/>
  <c r="E20" i="3"/>
  <c r="F20" i="3"/>
  <c r="H20" i="3"/>
  <c r="D12" i="3"/>
  <c r="E12" i="3"/>
  <c r="E22" i="3" s="1"/>
  <c r="F12" i="3"/>
  <c r="F22" i="3" s="1"/>
  <c r="H12" i="3"/>
  <c r="H22" i="3" s="1"/>
  <c r="I20" i="3"/>
  <c r="D19" i="3"/>
  <c r="D18" i="3"/>
  <c r="L15" i="3"/>
  <c r="L14" i="3"/>
  <c r="L11" i="3"/>
  <c r="I12" i="3"/>
  <c r="I22" i="3" s="1"/>
  <c r="L16" i="3"/>
  <c r="L17" i="3"/>
  <c r="L18" i="3"/>
  <c r="L19" i="3"/>
  <c r="D17" i="3" l="1"/>
  <c r="D16" i="3"/>
  <c r="D20" i="3" l="1"/>
  <c r="D22" i="3" s="1"/>
  <c r="G18" i="3"/>
  <c r="J20" i="3"/>
  <c r="J12" i="3"/>
  <c r="F38" i="5"/>
  <c r="I38" i="5"/>
  <c r="K38" i="5"/>
  <c r="L38" i="5"/>
  <c r="M38" i="5"/>
  <c r="P38" i="5"/>
  <c r="F32" i="5"/>
  <c r="F41" i="5" s="1"/>
  <c r="I29" i="5"/>
  <c r="K29" i="5"/>
  <c r="M29" i="5"/>
  <c r="P29" i="5"/>
  <c r="M24" i="9"/>
  <c r="M23" i="9"/>
  <c r="I23" i="9"/>
  <c r="I31" i="9"/>
  <c r="I46" i="9"/>
  <c r="I33" i="9"/>
  <c r="N25" i="9"/>
  <c r="O25" i="9"/>
  <c r="I26" i="9"/>
  <c r="H26" i="9"/>
  <c r="I27" i="9"/>
  <c r="C31" i="9"/>
  <c r="H28" i="9"/>
  <c r="I28" i="9"/>
  <c r="L24" i="9"/>
  <c r="L26" i="9"/>
  <c r="L27" i="9"/>
  <c r="L28" i="9"/>
  <c r="N28" i="9"/>
  <c r="L29" i="9"/>
  <c r="N29" i="9"/>
  <c r="L30" i="9"/>
  <c r="N30" i="9"/>
  <c r="O30" i="9"/>
  <c r="G31" i="9"/>
  <c r="G46" i="9"/>
  <c r="O28" i="9"/>
  <c r="H42" i="9"/>
  <c r="H40" i="9"/>
  <c r="H38" i="9"/>
  <c r="H37" i="9"/>
  <c r="H36" i="9"/>
  <c r="H34" i="9"/>
  <c r="H29" i="9"/>
  <c r="H21" i="9"/>
  <c r="H17" i="9"/>
  <c r="H16" i="9"/>
  <c r="H12" i="9"/>
  <c r="H11" i="9"/>
  <c r="H10" i="9"/>
  <c r="H9" i="9"/>
  <c r="H8" i="9"/>
  <c r="I24" i="9"/>
  <c r="M5" i="9"/>
  <c r="M6" i="9"/>
  <c r="E25" i="10"/>
  <c r="E26" i="10"/>
  <c r="E27" i="10"/>
  <c r="E28" i="10"/>
  <c r="E29" i="10"/>
  <c r="E30" i="10"/>
  <c r="G21" i="10"/>
  <c r="D21" i="10"/>
  <c r="H18" i="10"/>
  <c r="F18" i="10"/>
  <c r="F17" i="10"/>
  <c r="H17" i="10"/>
  <c r="F16" i="10"/>
  <c r="M11" i="9"/>
  <c r="F15" i="10"/>
  <c r="H15" i="10"/>
  <c r="F14" i="10"/>
  <c r="H14" i="10"/>
  <c r="F13" i="10"/>
  <c r="M8" i="9"/>
  <c r="F10" i="10"/>
  <c r="H10" i="10"/>
  <c r="H11" i="10"/>
  <c r="M43" i="9"/>
  <c r="K43" i="9"/>
  <c r="J43" i="9"/>
  <c r="F43" i="9"/>
  <c r="C43" i="9"/>
  <c r="L42" i="9"/>
  <c r="N42" i="9"/>
  <c r="O42" i="9"/>
  <c r="E42" i="9"/>
  <c r="L41" i="9"/>
  <c r="N41" i="9"/>
  <c r="I41" i="9"/>
  <c r="H41" i="9"/>
  <c r="H43" i="9"/>
  <c r="E41" i="9"/>
  <c r="L40" i="9"/>
  <c r="N40" i="9"/>
  <c r="E40" i="9"/>
  <c r="I39" i="9"/>
  <c r="N38" i="9"/>
  <c r="O38" i="9"/>
  <c r="O43" i="9"/>
  <c r="O46" i="9"/>
  <c r="E38" i="9"/>
  <c r="O37" i="9"/>
  <c r="L36" i="9"/>
  <c r="K34" i="9"/>
  <c r="J34" i="9"/>
  <c r="L34" i="9"/>
  <c r="N34" i="9"/>
  <c r="F34" i="9"/>
  <c r="C34" i="9"/>
  <c r="E33" i="9"/>
  <c r="M31" i="9"/>
  <c r="M46" i="9"/>
  <c r="K31" i="9"/>
  <c r="J31" i="9"/>
  <c r="D31" i="9"/>
  <c r="D46" i="9"/>
  <c r="O29" i="9"/>
  <c r="N27" i="9"/>
  <c r="H27" i="9"/>
  <c r="N26" i="9"/>
  <c r="O26" i="9"/>
  <c r="N24" i="9"/>
  <c r="O24" i="9"/>
  <c r="E24" i="9"/>
  <c r="L23" i="9"/>
  <c r="E23" i="9"/>
  <c r="E31" i="9"/>
  <c r="F21" i="9"/>
  <c r="F46" i="9"/>
  <c r="N20" i="9"/>
  <c r="I20" i="9"/>
  <c r="I21" i="9"/>
  <c r="M18" i="9"/>
  <c r="K18" i="9"/>
  <c r="J18" i="9"/>
  <c r="I18" i="9"/>
  <c r="C18" i="9"/>
  <c r="L17" i="9"/>
  <c r="N17" i="9"/>
  <c r="L16" i="9"/>
  <c r="E16" i="9"/>
  <c r="E18" i="9"/>
  <c r="K14" i="9"/>
  <c r="J14" i="9"/>
  <c r="C14" i="9"/>
  <c r="L13" i="9"/>
  <c r="N13" i="9"/>
  <c r="O13" i="9"/>
  <c r="I13" i="9"/>
  <c r="I14" i="9"/>
  <c r="E13" i="9"/>
  <c r="L12" i="9"/>
  <c r="E12" i="9"/>
  <c r="L11" i="9"/>
  <c r="E11" i="9"/>
  <c r="L10" i="9"/>
  <c r="E10" i="9"/>
  <c r="L9" i="9"/>
  <c r="E9" i="9"/>
  <c r="L8" i="9"/>
  <c r="E8" i="9"/>
  <c r="K6" i="9"/>
  <c r="J6" i="9"/>
  <c r="J46" i="9"/>
  <c r="C6" i="9"/>
  <c r="C46" i="9"/>
  <c r="L5" i="9"/>
  <c r="L6" i="9"/>
  <c r="I5" i="9"/>
  <c r="I6" i="9"/>
  <c r="E5" i="9"/>
  <c r="E6" i="9"/>
  <c r="J20" i="5"/>
  <c r="J21" i="5" s="1"/>
  <c r="I32" i="5"/>
  <c r="J6" i="5"/>
  <c r="J18" i="5"/>
  <c r="J14" i="5"/>
  <c r="C38" i="5"/>
  <c r="C32" i="5"/>
  <c r="G11" i="3"/>
  <c r="N6" i="5"/>
  <c r="G14" i="3"/>
  <c r="G15" i="3"/>
  <c r="G16" i="3"/>
  <c r="P10" i="5" s="1"/>
  <c r="R10" i="5" s="1"/>
  <c r="G17" i="3"/>
  <c r="Q20" i="5"/>
  <c r="R20" i="5" s="1"/>
  <c r="R21" i="5" s="1"/>
  <c r="N34" i="5"/>
  <c r="N36" i="5"/>
  <c r="Q36" i="5" s="1"/>
  <c r="N37" i="5"/>
  <c r="Q37" i="5" s="1"/>
  <c r="Q24" i="5"/>
  <c r="K18" i="5"/>
  <c r="K6" i="5"/>
  <c r="K14" i="5"/>
  <c r="K21" i="5"/>
  <c r="K32" i="5"/>
  <c r="G19" i="3"/>
  <c r="Q16" i="5"/>
  <c r="N31" i="5"/>
  <c r="Q31" i="5" s="1"/>
  <c r="R31" i="5" s="1"/>
  <c r="Q17" i="5"/>
  <c r="M32" i="5"/>
  <c r="L32" i="5"/>
  <c r="M6" i="5"/>
  <c r="M14" i="5"/>
  <c r="M18" i="5"/>
  <c r="P18" i="5"/>
  <c r="L6" i="5"/>
  <c r="L14" i="5"/>
  <c r="L18" i="5"/>
  <c r="C6" i="5"/>
  <c r="C14" i="5"/>
  <c r="C18" i="5"/>
  <c r="E14" i="9"/>
  <c r="L18" i="9"/>
  <c r="L31" i="9"/>
  <c r="H5" i="9"/>
  <c r="H6" i="9"/>
  <c r="H13" i="9"/>
  <c r="O20" i="9"/>
  <c r="O21" i="9"/>
  <c r="H14" i="9"/>
  <c r="K46" i="9"/>
  <c r="N23" i="9"/>
  <c r="O23" i="9"/>
  <c r="O27" i="9"/>
  <c r="F21" i="10"/>
  <c r="J13" i="10"/>
  <c r="J14" i="10"/>
  <c r="J15" i="10"/>
  <c r="H13" i="10"/>
  <c r="L14" i="9"/>
  <c r="N16" i="9"/>
  <c r="N36" i="9"/>
  <c r="O36" i="9"/>
  <c r="N5" i="9"/>
  <c r="N6" i="9"/>
  <c r="J32" i="5"/>
  <c r="O16" i="9"/>
  <c r="N43" i="9"/>
  <c r="O40" i="9"/>
  <c r="E34" i="9"/>
  <c r="L43" i="9"/>
  <c r="E43" i="9"/>
  <c r="E46" i="9"/>
  <c r="I43" i="9"/>
  <c r="O39" i="9"/>
  <c r="O41" i="9"/>
  <c r="N8" i="9"/>
  <c r="O8" i="9"/>
  <c r="H18" i="9"/>
  <c r="M9" i="9"/>
  <c r="N9" i="9"/>
  <c r="M12" i="9"/>
  <c r="N12" i="9"/>
  <c r="O12" i="9"/>
  <c r="N11" i="9"/>
  <c r="O11" i="9"/>
  <c r="H16" i="10"/>
  <c r="H19" i="10"/>
  <c r="H21" i="10"/>
  <c r="M10" i="9"/>
  <c r="M14" i="9"/>
  <c r="O5" i="9"/>
  <c r="O6" i="9"/>
  <c r="L46" i="9"/>
  <c r="O17" i="9"/>
  <c r="O18" i="9"/>
  <c r="N18" i="9"/>
  <c r="N10" i="9"/>
  <c r="O10" i="9"/>
  <c r="O33" i="9"/>
  <c r="O34" i="9"/>
  <c r="I34" i="9"/>
  <c r="H31" i="9"/>
  <c r="H46" i="9"/>
  <c r="N14" i="9"/>
  <c r="O9" i="9"/>
  <c r="O14" i="9"/>
  <c r="N31" i="9"/>
  <c r="N46" i="9"/>
  <c r="O31" i="9"/>
  <c r="J22" i="3" l="1"/>
  <c r="Q10" i="5"/>
  <c r="K19" i="3"/>
  <c r="P13" i="5"/>
  <c r="R13" i="5" s="1"/>
  <c r="K18" i="3"/>
  <c r="P12" i="5"/>
  <c r="R12" i="5" s="1"/>
  <c r="K17" i="3"/>
  <c r="P11" i="5"/>
  <c r="R11" i="5" s="1"/>
  <c r="K15" i="3"/>
  <c r="P9" i="5"/>
  <c r="R9" i="5" s="1"/>
  <c r="G12" i="3"/>
  <c r="P5" i="5"/>
  <c r="R5" i="5" s="1"/>
  <c r="K14" i="3"/>
  <c r="P8" i="5"/>
  <c r="R8" i="5" s="1"/>
  <c r="N14" i="3"/>
  <c r="N15" i="3" s="1"/>
  <c r="N16" i="3" s="1"/>
  <c r="K41" i="5"/>
  <c r="K45" i="5" s="1"/>
  <c r="N32" i="5"/>
  <c r="Q32" i="5" s="1"/>
  <c r="L41" i="5"/>
  <c r="N29" i="5"/>
  <c r="I41" i="5"/>
  <c r="N38" i="5"/>
  <c r="N14" i="5"/>
  <c r="Q23" i="5"/>
  <c r="Q34" i="5"/>
  <c r="Q38" i="5" s="1"/>
  <c r="R32" i="5"/>
  <c r="K16" i="3"/>
  <c r="G20" i="3"/>
  <c r="G22" i="3" s="1"/>
  <c r="L12" i="3"/>
  <c r="K11" i="3"/>
  <c r="K12" i="3" s="1"/>
  <c r="L20" i="3"/>
  <c r="C41" i="5"/>
  <c r="M41" i="5"/>
  <c r="N18" i="5"/>
  <c r="R18" i="5"/>
  <c r="Q18" i="5"/>
  <c r="L22" i="3" l="1"/>
  <c r="Q13" i="5"/>
  <c r="Q12" i="5"/>
  <c r="Q11" i="5"/>
  <c r="Q9" i="5"/>
  <c r="R6" i="5"/>
  <c r="P6" i="5"/>
  <c r="Q5" i="5"/>
  <c r="Q6" i="5" s="1"/>
  <c r="K20" i="3"/>
  <c r="K22" i="3" s="1"/>
  <c r="R14" i="5"/>
  <c r="Q8" i="5"/>
  <c r="P14" i="5"/>
  <c r="N41" i="5"/>
  <c r="Q29" i="5"/>
  <c r="R29" i="5"/>
  <c r="Q14" i="5" l="1"/>
  <c r="P41" i="5"/>
  <c r="Q41" i="5"/>
  <c r="E6" i="5"/>
  <c r="E14" i="5"/>
  <c r="E18" i="5"/>
  <c r="E32" i="5"/>
  <c r="R38" i="5"/>
  <c r="R41" i="5" s="1"/>
  <c r="E38" i="5"/>
  <c r="E41" i="5" l="1"/>
  <c r="J38" i="5"/>
  <c r="J41" i="5" s="1"/>
</calcChain>
</file>

<file path=xl/comments1.xml><?xml version="1.0" encoding="utf-8"?>
<comments xmlns="http://schemas.openxmlformats.org/spreadsheetml/2006/main">
  <authors>
    <author>benito.luna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comments2.xml><?xml version="1.0" encoding="utf-8"?>
<comments xmlns="http://schemas.openxmlformats.org/spreadsheetml/2006/main">
  <authors>
    <author>benito.luna</author>
  </authors>
  <commentList>
    <comment ref="N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N19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<sst xmlns="http://schemas.openxmlformats.org/spreadsheetml/2006/main" count="210" uniqueCount="150">
  <si>
    <t>*COST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</si>
  <si>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</si>
  <si>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</si>
  <si>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</si>
  <si>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</si>
  <si>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</si>
  <si>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</si>
  <si>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</si>
  <si>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</si>
  <si>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</si>
  <si>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</si>
  <si>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</si>
  <si>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Health Insurance</t>
  </si>
  <si>
    <t>Life Insurance</t>
  </si>
  <si>
    <t>Fica</t>
  </si>
  <si>
    <t>Retirement</t>
  </si>
  <si>
    <t>Unemployment Comp.</t>
  </si>
  <si>
    <t>Worker's Comp</t>
  </si>
  <si>
    <t xml:space="preserve">Health Insurance is paid twice per month only. </t>
  </si>
  <si>
    <t xml:space="preserve">Life Insurance is paid once per month only. </t>
  </si>
  <si>
    <t>Object</t>
  </si>
  <si>
    <t xml:space="preserve">Account Description </t>
  </si>
  <si>
    <t>Regular F/T Employee</t>
  </si>
  <si>
    <t xml:space="preserve">Y-T-D Expenditures </t>
  </si>
  <si>
    <t xml:space="preserve">Total Expenditures </t>
  </si>
  <si>
    <t xml:space="preserve">Health Insurance </t>
  </si>
  <si>
    <t xml:space="preserve">Life Insurance </t>
  </si>
  <si>
    <t xml:space="preserve">FICA </t>
  </si>
  <si>
    <t xml:space="preserve">Retirement </t>
  </si>
  <si>
    <t xml:space="preserve">Unemployment </t>
  </si>
  <si>
    <t xml:space="preserve">Workers Comp. </t>
  </si>
  <si>
    <t xml:space="preserve">Travel In-County </t>
  </si>
  <si>
    <t>Travel Out-of-County</t>
  </si>
  <si>
    <t>Office &amp; Comp Supplies</t>
  </si>
  <si>
    <t>Total Grant Award</t>
  </si>
  <si>
    <t xml:space="preserve">Available Balance </t>
  </si>
  <si>
    <t>Sub-Total - Personnel</t>
  </si>
  <si>
    <t xml:space="preserve">Sub-Total- Fringes </t>
  </si>
  <si>
    <t xml:space="preserve">Sub-Total - Travel </t>
  </si>
  <si>
    <t xml:space="preserve">Sub-Total - Supplies </t>
  </si>
  <si>
    <t xml:space="preserve">Sub-Total - Other </t>
  </si>
  <si>
    <t>Sub-Total - Contractual</t>
  </si>
  <si>
    <t>Advertising</t>
  </si>
  <si>
    <t>Printing &amp; Binding</t>
  </si>
  <si>
    <t>pp 18</t>
  </si>
  <si>
    <t>pp 19</t>
  </si>
  <si>
    <t xml:space="preserve">Adjusted Budget </t>
  </si>
  <si>
    <t>Medical Supplies</t>
  </si>
  <si>
    <t>Licenses &amp; Permits</t>
  </si>
  <si>
    <t>Sub-Total Pay</t>
  </si>
  <si>
    <t xml:space="preserve">Sub-Fringes </t>
  </si>
  <si>
    <t xml:space="preserve">Original Budget </t>
  </si>
  <si>
    <t xml:space="preserve">Sub-Total - Equipment </t>
  </si>
  <si>
    <t>TB Control FY 12</t>
  </si>
  <si>
    <t>09/01/2011 through 08/31/2012</t>
  </si>
  <si>
    <t xml:space="preserve">Other Professional Services </t>
  </si>
  <si>
    <t>Repairs &amp; Maintenance Building &amp; Other Structures</t>
  </si>
  <si>
    <t>Program Income Budget</t>
  </si>
  <si>
    <t xml:space="preserve">Total Grant Budget </t>
  </si>
  <si>
    <t>09/01/11 thru 12/31/11</t>
  </si>
  <si>
    <t xml:space="preserve">Total Grant Budget With Transfers </t>
  </si>
  <si>
    <t xml:space="preserve">Compuer Services </t>
  </si>
  <si>
    <t xml:space="preserve">Other Services </t>
  </si>
  <si>
    <t>TB CONTROL FY 12</t>
  </si>
  <si>
    <t>GRANT ENDING 08/31/2012</t>
  </si>
  <si>
    <t/>
  </si>
  <si>
    <t>pp 09</t>
  </si>
  <si>
    <t>pp 10</t>
  </si>
  <si>
    <t>pp 11</t>
  </si>
  <si>
    <t>pp 12</t>
  </si>
  <si>
    <t>pp 13</t>
  </si>
  <si>
    <t>pp 14</t>
  </si>
  <si>
    <t>pp 15</t>
  </si>
  <si>
    <t>pp 16</t>
  </si>
  <si>
    <t>pp 17</t>
  </si>
  <si>
    <t>5 days only</t>
  </si>
  <si>
    <t>Projection of Salaries and Fringes for the remainder of the TB CONTROL FY 12 period ending 08/31/12</t>
  </si>
  <si>
    <t>Detail Expenditure Report -----&gt;</t>
  </si>
  <si>
    <t>Household &amp; Janitorial Supplies</t>
  </si>
  <si>
    <t>Other Miscellaneous Supplies</t>
  </si>
  <si>
    <t>Repairs &amp; Maintenance Supplies</t>
  </si>
  <si>
    <t>Grant Amendment 05/08/12</t>
  </si>
  <si>
    <t xml:space="preserve">Repairs &amp; Maintenance Services - Equipment &amp; Vehicles </t>
  </si>
  <si>
    <t>Pay Periods Remaining at 06/13/2012:</t>
  </si>
  <si>
    <t>Total Grant Budget With Transfers With Prog Inc</t>
  </si>
  <si>
    <t>Difference Between Award Budget</t>
  </si>
  <si>
    <t xml:space="preserve">Program Income Amendment </t>
  </si>
  <si>
    <t xml:space="preserve">Minor Office Equipment </t>
  </si>
  <si>
    <t xml:space="preserve">Office Furniture &amp; Equipment </t>
  </si>
  <si>
    <t>01/01/12 thru 07/09/12</t>
  </si>
  <si>
    <t>Projected Expenditures  07/10-08/31/12</t>
  </si>
  <si>
    <t xml:space="preserve">10% Transfer Threshold = 10% of ($455,507.00 + 51,694.00 = $507,201.00) - ($3,240.00) = $503,961.00;  </t>
  </si>
  <si>
    <t xml:space="preserve">10% of $503,961.00 = $50,396.00.  </t>
  </si>
  <si>
    <t>THROUGH</t>
  </si>
  <si>
    <t xml:space="preserve">Fringes </t>
  </si>
  <si>
    <t>Personnel</t>
  </si>
  <si>
    <t xml:space="preserve">Travel </t>
  </si>
  <si>
    <t xml:space="preserve">Equipment </t>
  </si>
  <si>
    <t xml:space="preserve">Supplies </t>
  </si>
  <si>
    <t>Contractual</t>
  </si>
  <si>
    <t xml:space="preserve">Other </t>
  </si>
  <si>
    <t xml:space="preserve">Clothing &amp; Uniforms </t>
  </si>
  <si>
    <r>
      <t xml:space="preserve">Current variance among Categorical Budgets = </t>
    </r>
    <r>
      <rPr>
        <b/>
        <sz val="10"/>
        <color indexed="10"/>
        <rFont val="Arial"/>
        <family val="2"/>
      </rPr>
      <t>$36,699.00.</t>
    </r>
    <r>
      <rPr>
        <b/>
        <sz val="10"/>
        <color indexed="12"/>
        <rFont val="Arial"/>
        <family val="2"/>
      </rPr>
      <t xml:space="preserve">   </t>
    </r>
  </si>
  <si>
    <t>Other Professional Services</t>
  </si>
  <si>
    <t>Line Item Transfers</t>
  </si>
  <si>
    <t>09/01/2013 through 08/31/2014</t>
  </si>
  <si>
    <t>GRANT ENDING 08/31/2014</t>
  </si>
  <si>
    <t>Grant Budget</t>
  </si>
  <si>
    <t>Match Budget</t>
  </si>
  <si>
    <r>
      <t>SURPLUS/</t>
    </r>
    <r>
      <rPr>
        <b/>
        <sz val="10"/>
        <color rgb="FFFF0000"/>
        <rFont val="Arial"/>
        <family val="2"/>
      </rPr>
      <t>DEFICIT</t>
    </r>
  </si>
  <si>
    <t>pp 05</t>
  </si>
  <si>
    <t>pp 06</t>
  </si>
  <si>
    <t>pp 07</t>
  </si>
  <si>
    <t>2014 PAYROLL SCHEDULE</t>
  </si>
  <si>
    <t xml:space="preserve">Pay Day </t>
  </si>
  <si>
    <t>Life Insurance *</t>
  </si>
  <si>
    <t xml:space="preserve">* Life Insurance is paid once per month. </t>
  </si>
  <si>
    <t xml:space="preserve">This analysis is needed as the amount budgeted in the general ledger consists of 80% grant monies and 20% local match funds.  </t>
  </si>
  <si>
    <t>Pay Date</t>
  </si>
  <si>
    <t>pp 08</t>
  </si>
  <si>
    <t xml:space="preserve">Work Period Covered </t>
  </si>
  <si>
    <t xml:space="preserve">Original Budget GRANT </t>
  </si>
  <si>
    <t>Original Budget LOCAL MATCH</t>
  </si>
  <si>
    <t xml:space="preserve">Other Equipment </t>
  </si>
  <si>
    <t>Janitorial Supplies</t>
  </si>
  <si>
    <t xml:space="preserve">Sub-Total Grant Budget </t>
  </si>
  <si>
    <t xml:space="preserve">GRANT Salaries Y-T-D Expenditures </t>
  </si>
  <si>
    <t xml:space="preserve">Local Match Salaries       Y-T-D Expenditures </t>
  </si>
  <si>
    <t xml:space="preserve">GRANT SALARIES Available Balance </t>
  </si>
  <si>
    <t>Y-T-D Expenditures Grant &amp; Match</t>
  </si>
  <si>
    <t>TB ELIMINATIN FY 14</t>
  </si>
  <si>
    <t>Budget Amendment  Grant 02/25/14</t>
  </si>
  <si>
    <t>Budget Amendment Match 02/25/14</t>
  </si>
  <si>
    <t>Minor Computer Equip</t>
  </si>
  <si>
    <t>Y-T-D Expenditures  05/09/14</t>
  </si>
  <si>
    <t>TB ELIMINATION FY 15</t>
  </si>
  <si>
    <t>Projection of Salaries and Fringes for the remainder of the TB ELIMINATION FY 14 period ending 08/31/14</t>
  </si>
  <si>
    <t>Projected Expenditures  05/10/14-08/31/14</t>
  </si>
  <si>
    <t>Object 113 - Grant Funds</t>
  </si>
  <si>
    <t>Grant</t>
  </si>
  <si>
    <t>Local Match</t>
  </si>
  <si>
    <t>Object 211</t>
  </si>
  <si>
    <t>Object 212</t>
  </si>
  <si>
    <t>Object 220</t>
  </si>
  <si>
    <t>Object 230</t>
  </si>
  <si>
    <t>Object 250</t>
  </si>
  <si>
    <t>Object 260</t>
  </si>
  <si>
    <t>Object 113</t>
  </si>
  <si>
    <t xml:space="preserve">2014 Y-T-D Total </t>
  </si>
  <si>
    <t xml:space="preserve">Expenditures in Grant &amp; Local Match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</si>
</sst>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0" fontId="0" fillId="0" borderId="5" xfId="0" applyFill="1" applyBorder="1"/>
    <xf numFmtId="44" fontId="0" fillId="0" borderId="6" xfId="0" applyNumberFormat="1" applyBorder="1"/>
    <xf numFmtId="44" fontId="0" fillId="0" borderId="6" xfId="0" applyNumberFormat="1" applyFill="1" applyBorder="1"/>
    <xf numFmtId="44" fontId="1" fillId="0" borderId="0" xfId="0" applyNumberFormat="1" applyFont="1" applyFill="1" applyBorder="1"/>
    <xf numFmtId="44" fontId="0" fillId="0" borderId="4" xfId="0" applyNumberFormat="1" applyFill="1" applyBorder="1"/>
    <xf numFmtId="0" fontId="0" fillId="0" borderId="4" xfId="0" applyFill="1" applyBorder="1"/>
    <xf numFmtId="44" fontId="0" fillId="0" borderId="4" xfId="0" quotePrefix="1" applyNumberFormat="1" applyBorder="1"/>
    <xf numFmtId="44" fontId="0" fillId="0" borderId="0" xfId="0" applyNumberFormat="1"/>
    <xf numFmtId="0" fontId="0" fillId="0" borderId="7" xfId="0" applyBorder="1"/>
    <xf numFmtId="0" fontId="0" fillId="0" borderId="8" xfId="0" applyBorder="1"/>
    <xf numFmtId="44" fontId="0" fillId="0" borderId="2" xfId="0" applyNumberFormat="1" applyBorder="1"/>
    <xf numFmtId="0" fontId="0" fillId="0" borderId="6" xfId="0" applyBorder="1"/>
    <xf numFmtId="44" fontId="2" fillId="0" borderId="2" xfId="0" applyNumberFormat="1" applyFont="1" applyBorder="1"/>
    <xf numFmtId="44" fontId="2" fillId="0" borderId="8" xfId="0" applyNumberFormat="1" applyFont="1" applyBorder="1"/>
    <xf numFmtId="44" fontId="2" fillId="0" borderId="0" xfId="0" applyNumberFormat="1" applyFont="1" applyFill="1" applyBorder="1"/>
    <xf numFmtId="44" fontId="2" fillId="2" borderId="9" xfId="0" applyNumberFormat="1" applyFont="1" applyFill="1" applyBorder="1"/>
    <xf numFmtId="14" fontId="0" fillId="0" borderId="0" xfId="0" applyNumberFormat="1"/>
    <xf numFmtId="0" fontId="0" fillId="0" borderId="0" xfId="0" applyNumberFormat="1"/>
    <xf numFmtId="0" fontId="5" fillId="0" borderId="0" xfId="0" applyFont="1"/>
    <xf numFmtId="43" fontId="0" fillId="0" borderId="0" xfId="1" applyFont="1"/>
    <xf numFmtId="43" fontId="0" fillId="0" borderId="7" xfId="1" applyFont="1" applyBorder="1"/>
    <xf numFmtId="0" fontId="0" fillId="0" borderId="10" xfId="0" applyBorder="1"/>
    <xf numFmtId="43" fontId="0" fillId="0" borderId="11" xfId="1" applyFont="1" applyBorder="1"/>
    <xf numFmtId="43" fontId="0" fillId="3" borderId="3" xfId="1" applyFont="1" applyFill="1" applyBorder="1"/>
    <xf numFmtId="43" fontId="0" fillId="0" borderId="2" xfId="1" applyFont="1" applyBorder="1"/>
    <xf numFmtId="43" fontId="0" fillId="0" borderId="4" xfId="1" applyFont="1" applyBorder="1"/>
    <xf numFmtId="43" fontId="0" fillId="3" borderId="10" xfId="1" applyFont="1" applyFill="1" applyBorder="1"/>
    <xf numFmtId="43" fontId="0" fillId="0" borderId="10" xfId="1" applyFont="1" applyBorder="1"/>
    <xf numFmtId="43" fontId="0" fillId="0" borderId="8" xfId="1" applyFont="1" applyBorder="1"/>
    <xf numFmtId="43" fontId="0" fillId="3" borderId="10" xfId="0" applyNumberFormat="1" applyFill="1" applyBorder="1"/>
    <xf numFmtId="43" fontId="2" fillId="3" borderId="12" xfId="0" applyNumberFormat="1" applyFont="1" applyFill="1" applyBorder="1"/>
    <xf numFmtId="43" fontId="0" fillId="0" borderId="13" xfId="1" applyFont="1" applyBorder="1"/>
    <xf numFmtId="0" fontId="0" fillId="0" borderId="13" xfId="0" applyBorder="1"/>
    <xf numFmtId="43" fontId="0" fillId="0" borderId="14" xfId="1" applyFont="1" applyBorder="1"/>
    <xf numFmtId="43" fontId="0" fillId="0" borderId="1" xfId="1" applyFont="1" applyBorder="1"/>
    <xf numFmtId="43" fontId="0" fillId="0" borderId="0" xfId="1" applyFont="1" applyBorder="1"/>
    <xf numFmtId="43" fontId="0" fillId="3" borderId="5" xfId="1" applyFont="1" applyFill="1" applyBorder="1"/>
    <xf numFmtId="43" fontId="0" fillId="3" borderId="13" xfId="1" applyFont="1" applyFill="1" applyBorder="1"/>
    <xf numFmtId="43" fontId="0" fillId="3" borderId="13" xfId="0" applyNumberFormat="1" applyFill="1" applyBorder="1"/>
    <xf numFmtId="43" fontId="0" fillId="3" borderId="0" xfId="1" applyFont="1" applyFill="1"/>
    <xf numFmtId="43" fontId="0" fillId="3" borderId="0" xfId="1" applyFont="1" applyFill="1" applyBorder="1"/>
    <xf numFmtId="43" fontId="0" fillId="0" borderId="10" xfId="0" applyNumberFormat="1" applyFill="1" applyBorder="1"/>
    <xf numFmtId="43" fontId="0" fillId="0" borderId="0" xfId="0" applyNumberFormat="1" applyFill="1" applyBorder="1"/>
    <xf numFmtId="43" fontId="0" fillId="0" borderId="10" xfId="1" applyFont="1" applyFill="1" applyBorder="1"/>
    <xf numFmtId="43" fontId="0" fillId="0" borderId="13" xfId="0" applyNumberFormat="1" applyFill="1" applyBorder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NumberFormat="1" applyFill="1"/>
    <xf numFmtId="44" fontId="5" fillId="0" borderId="5" xfId="0" applyNumberFormat="1" applyFont="1" applyFill="1" applyBorder="1"/>
    <xf numFmtId="44" fontId="7" fillId="0" borderId="5" xfId="0" applyNumberFormat="1" applyFont="1" applyFill="1" applyBorder="1"/>
    <xf numFmtId="44" fontId="5" fillId="0" borderId="4" xfId="0" applyNumberFormat="1" applyFont="1" applyFill="1" applyBorder="1"/>
    <xf numFmtId="0" fontId="5" fillId="0" borderId="5" xfId="0" applyFont="1" applyBorder="1"/>
    <xf numFmtId="44" fontId="7" fillId="4" borderId="8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8" fillId="0" borderId="0" xfId="0" applyFont="1"/>
    <xf numFmtId="43" fontId="0" fillId="0" borderId="3" xfId="1" applyFont="1" applyBorder="1"/>
    <xf numFmtId="0" fontId="2" fillId="0" borderId="4" xfId="0" applyFont="1" applyBorder="1"/>
    <xf numFmtId="0" fontId="2" fillId="0" borderId="3" xfId="0" applyFont="1" applyBorder="1"/>
    <xf numFmtId="0" fontId="0" fillId="5" borderId="4" xfId="0" applyFill="1" applyBorder="1"/>
    <xf numFmtId="44" fontId="0" fillId="5" borderId="4" xfId="0" applyNumberFormat="1" applyFill="1" applyBorder="1"/>
    <xf numFmtId="0" fontId="0" fillId="5" borderId="5" xfId="0" applyFill="1" applyBorder="1"/>
    <xf numFmtId="44" fontId="0" fillId="5" borderId="6" xfId="0" applyNumberFormat="1" applyFill="1" applyBorder="1"/>
    <xf numFmtId="44" fontId="7" fillId="5" borderId="5" xfId="0" applyNumberFormat="1" applyFont="1" applyFill="1" applyBorder="1"/>
    <xf numFmtId="0" fontId="0" fillId="5" borderId="3" xfId="0" applyFill="1" applyBorder="1"/>
    <xf numFmtId="44" fontId="0" fillId="5" borderId="3" xfId="0" applyNumberFormat="1" applyFill="1" applyBorder="1"/>
    <xf numFmtId="0" fontId="0" fillId="5" borderId="6" xfId="0" applyFill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/>
    <xf numFmtId="43" fontId="9" fillId="0" borderId="0" xfId="0" applyNumberFormat="1" applyFont="1"/>
    <xf numFmtId="14" fontId="8" fillId="0" borderId="0" xfId="0" applyNumberFormat="1" applyFont="1"/>
    <xf numFmtId="0" fontId="10" fillId="0" borderId="0" xfId="0" applyFont="1"/>
    <xf numFmtId="14" fontId="7" fillId="0" borderId="2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0" borderId="0" xfId="0" applyFill="1" applyBorder="1"/>
    <xf numFmtId="14" fontId="0" fillId="0" borderId="0" xfId="0" applyNumberFormat="1" applyFill="1" applyBorder="1"/>
    <xf numFmtId="43" fontId="2" fillId="0" borderId="0" xfId="0" applyNumberFormat="1" applyFont="1" applyFill="1" applyBorder="1"/>
    <xf numFmtId="0" fontId="1" fillId="0" borderId="0" xfId="0" applyFont="1"/>
    <xf numFmtId="43" fontId="5" fillId="0" borderId="0" xfId="1" applyFont="1"/>
    <xf numFmtId="0" fontId="8" fillId="0" borderId="8" xfId="0" applyFont="1" applyBorder="1" applyAlignment="1">
      <alignment horizontal="center"/>
    </xf>
    <xf numFmtId="0" fontId="11" fillId="0" borderId="0" xfId="0" applyFont="1"/>
    <xf numFmtId="43" fontId="2" fillId="0" borderId="0" xfId="0" applyNumberFormat="1" applyFont="1"/>
    <xf numFmtId="43" fontId="1" fillId="0" borderId="8" xfId="1" applyFont="1" applyBorder="1"/>
    <xf numFmtId="43" fontId="0" fillId="0" borderId="8" xfId="1" applyFont="1" applyFill="1" applyBorder="1"/>
    <xf numFmtId="43" fontId="0" fillId="0" borderId="3" xfId="1" applyFont="1" applyFill="1" applyBorder="1"/>
    <xf numFmtId="44" fontId="0" fillId="5" borderId="3" xfId="0" quotePrefix="1" applyNumberFormat="1" applyFill="1" applyBorder="1"/>
    <xf numFmtId="0" fontId="13" fillId="0" borderId="0" xfId="0" applyFont="1"/>
    <xf numFmtId="0" fontId="2" fillId="6" borderId="4" xfId="0" applyFont="1" applyFill="1" applyBorder="1" applyAlignment="1">
      <alignment horizontal="center" wrapText="1"/>
    </xf>
    <xf numFmtId="43" fontId="1" fillId="6" borderId="4" xfId="1" applyFont="1" applyFill="1" applyBorder="1"/>
    <xf numFmtId="43" fontId="1" fillId="6" borderId="8" xfId="1" applyFont="1" applyFill="1" applyBorder="1"/>
    <xf numFmtId="43" fontId="14" fillId="3" borderId="12" xfId="0" applyNumberFormat="1" applyFont="1" applyFill="1" applyBorder="1"/>
    <xf numFmtId="43" fontId="14" fillId="3" borderId="10" xfId="1" applyFont="1" applyFill="1" applyBorder="1"/>
    <xf numFmtId="43" fontId="1" fillId="6" borderId="10" xfId="1" applyFont="1" applyFill="1" applyBorder="1"/>
    <xf numFmtId="43" fontId="1" fillId="6" borderId="8" xfId="1" applyFont="1" applyFill="1" applyBorder="1"/>
    <xf numFmtId="43" fontId="14" fillId="3" borderId="5" xfId="1" applyFont="1" applyFill="1" applyBorder="1"/>
    <xf numFmtId="43" fontId="14" fillId="3" borderId="10" xfId="0" applyNumberFormat="1" applyFont="1" applyFill="1" applyBorder="1"/>
    <xf numFmtId="0" fontId="14" fillId="0" borderId="0" xfId="0" applyFont="1"/>
    <xf numFmtId="43" fontId="1" fillId="6" borderId="10" xfId="1" applyFont="1" applyFill="1" applyBorder="1"/>
    <xf numFmtId="43" fontId="1" fillId="0" borderId="10" xfId="1" applyFont="1" applyFill="1" applyBorder="1"/>
    <xf numFmtId="43" fontId="1" fillId="0" borderId="8" xfId="1" applyFont="1" applyFill="1" applyBorder="1"/>
    <xf numFmtId="43" fontId="1" fillId="0" borderId="11" xfId="1" applyFont="1" applyFill="1" applyBorder="1"/>
    <xf numFmtId="43" fontId="1" fillId="0" borderId="6" xfId="1" applyFont="1" applyFill="1" applyBorder="1"/>
    <xf numFmtId="43" fontId="1" fillId="0" borderId="10" xfId="2" applyFont="1" applyFill="1" applyBorder="1"/>
    <xf numFmtId="0" fontId="2" fillId="0" borderId="11" xfId="0" applyFont="1" applyBorder="1" applyAlignment="1">
      <alignment horizontal="center" wrapText="1"/>
    </xf>
    <xf numFmtId="43" fontId="15" fillId="3" borderId="3" xfId="1" applyFont="1" applyFill="1" applyBorder="1"/>
    <xf numFmtId="43" fontId="1" fillId="0" borderId="2" xfId="1" applyFont="1" applyFill="1" applyBorder="1"/>
    <xf numFmtId="43" fontId="13" fillId="3" borderId="3" xfId="1" applyFont="1" applyFill="1" applyBorder="1"/>
    <xf numFmtId="43" fontId="13" fillId="3" borderId="3" xfId="0" applyNumberFormat="1" applyFont="1" applyFill="1" applyBorder="1"/>
    <xf numFmtId="43" fontId="0" fillId="0" borderId="3" xfId="0" applyNumberFormat="1" applyFill="1" applyBorder="1"/>
    <xf numFmtId="0" fontId="2" fillId="6" borderId="16" xfId="0" applyFont="1" applyFill="1" applyBorder="1" applyAlignment="1">
      <alignment horizontal="center" wrapText="1"/>
    </xf>
    <xf numFmtId="43" fontId="1" fillId="6" borderId="17" xfId="1" applyFont="1" applyFill="1" applyBorder="1"/>
    <xf numFmtId="43" fontId="0" fillId="0" borderId="18" xfId="1" applyFont="1" applyBorder="1"/>
    <xf numFmtId="43" fontId="1" fillId="6" borderId="18" xfId="1" applyFont="1" applyFill="1" applyBorder="1"/>
    <xf numFmtId="43" fontId="1" fillId="6" borderId="19" xfId="1" applyFont="1" applyFill="1" applyBorder="1"/>
    <xf numFmtId="43" fontId="1" fillId="6" borderId="18" xfId="1" applyFont="1" applyFill="1" applyBorder="1"/>
    <xf numFmtId="43" fontId="0" fillId="0" borderId="18" xfId="1" applyFont="1" applyFill="1" applyBorder="1"/>
    <xf numFmtId="43" fontId="1" fillId="6" borderId="19" xfId="1" applyFont="1" applyFill="1" applyBorder="1"/>
    <xf numFmtId="43" fontId="0" fillId="0" borderId="18" xfId="0" applyNumberFormat="1" applyFill="1" applyBorder="1"/>
    <xf numFmtId="0" fontId="0" fillId="0" borderId="20" xfId="0" applyBorder="1"/>
    <xf numFmtId="43" fontId="14" fillId="3" borderId="18" xfId="1" applyFont="1" applyFill="1" applyBorder="1"/>
    <xf numFmtId="43" fontId="14" fillId="3" borderId="18" xfId="0" applyNumberFormat="1" applyFont="1" applyFill="1" applyBorder="1"/>
    <xf numFmtId="43" fontId="14" fillId="3" borderId="21" xfId="0" applyNumberFormat="1" applyFont="1" applyFill="1" applyBorder="1"/>
    <xf numFmtId="0" fontId="2" fillId="7" borderId="0" xfId="0" applyFont="1" applyFill="1"/>
    <xf numFmtId="0" fontId="2" fillId="7" borderId="4" xfId="0" applyFont="1" applyFill="1" applyBorder="1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44" fontId="2" fillId="5" borderId="6" xfId="0" applyNumberFormat="1" applyFont="1" applyFill="1" applyBorder="1"/>
    <xf numFmtId="44" fontId="2" fillId="5" borderId="3" xfId="0" applyNumberFormat="1" applyFont="1" applyFill="1" applyBorder="1"/>
    <xf numFmtId="9" fontId="7" fillId="0" borderId="3" xfId="0" applyNumberFormat="1" applyFont="1" applyBorder="1" applyAlignment="1">
      <alignment horizontal="center"/>
    </xf>
    <xf numFmtId="44" fontId="0" fillId="0" borderId="5" xfId="0" applyNumberFormat="1" applyBorder="1"/>
    <xf numFmtId="44" fontId="0" fillId="0" borderId="5" xfId="0" applyNumberFormat="1" applyFill="1" applyBorder="1"/>
    <xf numFmtId="44" fontId="0" fillId="0" borderId="5" xfId="0" quotePrefix="1" applyNumberFormat="1" applyBorder="1"/>
    <xf numFmtId="44" fontId="0" fillId="6" borderId="4" xfId="0" applyNumberFormat="1" applyFill="1" applyBorder="1"/>
    <xf numFmtId="44" fontId="0" fillId="6" borderId="4" xfId="0" quotePrefix="1" applyNumberFormat="1" applyFill="1" applyBorder="1"/>
    <xf numFmtId="44" fontId="0" fillId="6" borderId="2" xfId="0" applyNumberFormat="1" applyFill="1" applyBorder="1"/>
    <xf numFmtId="44" fontId="0" fillId="6" borderId="6" xfId="0" applyNumberFormat="1" applyFill="1" applyBorder="1"/>
    <xf numFmtId="14" fontId="0" fillId="0" borderId="0" xfId="0" applyNumberFormat="1" applyAlignment="1">
      <alignment horizontal="center"/>
    </xf>
    <xf numFmtId="44" fontId="0" fillId="0" borderId="8" xfId="0" applyNumberFormat="1" applyBorder="1"/>
    <xf numFmtId="44" fontId="0" fillId="0" borderId="11" xfId="0" applyNumberFormat="1" applyBorder="1"/>
    <xf numFmtId="44" fontId="15" fillId="6" borderId="6" xfId="0" applyNumberFormat="1" applyFont="1" applyFill="1" applyBorder="1"/>
    <xf numFmtId="0" fontId="2" fillId="0" borderId="7" xfId="0" applyFont="1" applyBorder="1" applyAlignment="1">
      <alignment horizontal="center"/>
    </xf>
    <xf numFmtId="0" fontId="2" fillId="8" borderId="4" xfId="0" applyFont="1" applyFill="1" applyBorder="1" applyAlignment="1">
      <alignment horizontal="center" wrapText="1"/>
    </xf>
    <xf numFmtId="43" fontId="0" fillId="8" borderId="4" xfId="1" applyFont="1" applyFill="1" applyBorder="1"/>
    <xf numFmtId="43" fontId="0" fillId="8" borderId="10" xfId="1" applyFont="1" applyFill="1" applyBorder="1"/>
    <xf numFmtId="43" fontId="0" fillId="8" borderId="3" xfId="1" applyFont="1" applyFill="1" applyBorder="1"/>
    <xf numFmtId="43" fontId="0" fillId="8" borderId="8" xfId="1" applyFont="1" applyFill="1" applyBorder="1"/>
    <xf numFmtId="43" fontId="0" fillId="8" borderId="10" xfId="0" applyNumberFormat="1" applyFill="1" applyBorder="1"/>
    <xf numFmtId="0" fontId="0" fillId="8" borderId="10" xfId="0" applyFill="1" applyBorder="1"/>
    <xf numFmtId="43" fontId="2" fillId="8" borderId="12" xfId="0" applyNumberFormat="1" applyFont="1" applyFill="1" applyBorder="1"/>
    <xf numFmtId="43" fontId="0" fillId="8" borderId="4" xfId="0" applyNumberFormat="1" applyFill="1" applyBorder="1"/>
    <xf numFmtId="43" fontId="0" fillId="8" borderId="8" xfId="0" applyNumberFormat="1" applyFill="1" applyBorder="1"/>
    <xf numFmtId="0" fontId="0" fillId="8" borderId="0" xfId="0" applyFill="1"/>
    <xf numFmtId="0" fontId="0" fillId="8" borderId="8" xfId="0" applyFill="1" applyBorder="1"/>
    <xf numFmtId="43" fontId="0" fillId="8" borderId="11" xfId="1" applyFont="1" applyFill="1" applyBorder="1"/>
    <xf numFmtId="43" fontId="0" fillId="8" borderId="13" xfId="1" applyFont="1" applyFill="1" applyBorder="1"/>
    <xf numFmtId="43" fontId="1" fillId="8" borderId="13" xfId="1" applyFont="1" applyFill="1" applyBorder="1"/>
    <xf numFmtId="43" fontId="1" fillId="8" borderId="1" xfId="1" applyFont="1" applyFill="1" applyBorder="1"/>
    <xf numFmtId="43" fontId="1" fillId="8" borderId="8" xfId="1" applyFont="1" applyFill="1" applyBorder="1"/>
    <xf numFmtId="0" fontId="0" fillId="0" borderId="0" xfId="0" applyFill="1"/>
    <xf numFmtId="0" fontId="0" fillId="0" borderId="10" xfId="0" applyFill="1" applyBorder="1" applyAlignment="1">
      <alignment wrapText="1"/>
    </xf>
    <xf numFmtId="43" fontId="15" fillId="6" borderId="10" xfId="1" applyFont="1" applyFill="1" applyBorder="1"/>
    <xf numFmtId="43" fontId="0" fillId="3" borderId="3" xfId="0" applyNumberFormat="1" applyFill="1" applyBorder="1"/>
    <xf numFmtId="43" fontId="2" fillId="3" borderId="22" xfId="0" applyNumberFormat="1" applyFont="1" applyFill="1" applyBorder="1"/>
    <xf numFmtId="43" fontId="13" fillId="6" borderId="4" xfId="1" applyFont="1" applyFill="1" applyBorder="1"/>
    <xf numFmtId="44" fontId="13" fillId="6" borderId="6" xfId="0" applyNumberFormat="1" applyFont="1" applyFill="1" applyBorder="1"/>
    <xf numFmtId="44" fontId="14" fillId="5" borderId="6" xfId="0" applyNumberFormat="1" applyFont="1" applyFill="1" applyBorder="1"/>
    <xf numFmtId="43" fontId="13" fillId="6" borderId="10" xfId="1" applyFont="1" applyFill="1" applyBorder="1"/>
    <xf numFmtId="44" fontId="18" fillId="0" borderId="5" xfId="0" applyNumberFormat="1" applyFont="1" applyFill="1" applyBorder="1"/>
    <xf numFmtId="44" fontId="19" fillId="5" borderId="5" xfId="0" applyNumberFormat="1" applyFont="1" applyFill="1" applyBorder="1"/>
    <xf numFmtId="44" fontId="13" fillId="6" borderId="4" xfId="0" applyNumberFormat="1" applyFont="1" applyFill="1" applyBorder="1"/>
    <xf numFmtId="43" fontId="13" fillId="0" borderId="11" xfId="1" applyFont="1" applyBorder="1"/>
    <xf numFmtId="43" fontId="13" fillId="0" borderId="10" xfId="1" applyFont="1" applyBorder="1"/>
    <xf numFmtId="43" fontId="13" fillId="0" borderId="8" xfId="1" applyFont="1" applyBorder="1"/>
    <xf numFmtId="0" fontId="17" fillId="0" borderId="0" xfId="0" applyFont="1" applyBorder="1"/>
    <xf numFmtId="43" fontId="0" fillId="0" borderId="5" xfId="1" applyFont="1" applyBorder="1"/>
    <xf numFmtId="43" fontId="15" fillId="6" borderId="5" xfId="1" applyFont="1" applyFill="1" applyBorder="1"/>
    <xf numFmtId="43" fontId="16" fillId="3" borderId="10" xfId="1" applyFont="1" applyFill="1" applyBorder="1"/>
    <xf numFmtId="44" fontId="16" fillId="5" borderId="3" xfId="0" applyNumberFormat="1" applyFont="1" applyFill="1" applyBorder="1"/>
    <xf numFmtId="8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7" xfId="0" applyFont="1" applyBorder="1" applyAlignment="1">
      <alignment horizontal="center"/>
    </xf>
    <xf numFmtId="43" fontId="2" fillId="0" borderId="4" xfId="1" applyFont="1" applyBorder="1"/>
    <xf numFmtId="43" fontId="2" fillId="8" borderId="4" xfId="1" applyFont="1" applyFill="1" applyBorder="1"/>
    <xf numFmtId="43" fontId="1" fillId="8" borderId="4" xfId="1" applyFont="1" applyFill="1" applyBorder="1"/>
    <xf numFmtId="43" fontId="0" fillId="9" borderId="4" xfId="1" applyFont="1" applyFill="1" applyBorder="1"/>
    <xf numFmtId="0" fontId="17" fillId="0" borderId="5" xfId="0" applyFont="1" applyBorder="1"/>
    <xf numFmtId="0" fontId="0" fillId="0" borderId="0" xfId="0" applyFont="1" applyFill="1" applyBorder="1"/>
    <xf numFmtId="14" fontId="0" fillId="0" borderId="0" xfId="0" applyNumberFormat="1" applyFont="1" applyFill="1" applyBorder="1"/>
    <xf numFmtId="43" fontId="0" fillId="10" borderId="4" xfId="1" applyFont="1" applyFill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0</xdr:colOff>
          <xdr:row>37</xdr:row>
          <xdr:rowOff>66675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pane xSplit="2" ySplit="4" topLeftCell="E11" activePane="bottomRight" state="frozen"/>
      <selection pane="topRight" activeCell="C1" sqref="C1"/>
      <selection pane="bottomLeft" activeCell="A5" sqref="A5"/>
      <selection pane="bottomRight" activeCell="M39" sqref="M39"/>
    </sheetView>
  </sheetViews>
  <sheetFormatPr defaultRowHeight="12.75" x14ac:dyDescent="0.2"/>
  <cols>
    <col min="1" max="1" width="4.5703125" customWidth="1"/>
    <col min="2" max="2" width="19.140625" customWidth="1"/>
    <col min="3" max="9" width="12.7109375" customWidth="1"/>
    <col min="10" max="11" width="12.85546875" customWidth="1"/>
    <col min="12" max="15" width="12.7109375" customWidth="1"/>
  </cols>
  <sheetData>
    <row r="1" spans="1:15" x14ac:dyDescent="0.2">
      <c r="A1" s="66" t="s">
        <v>53</v>
      </c>
      <c r="B1" s="66"/>
    </row>
    <row r="2" spans="1:15" x14ac:dyDescent="0.2">
      <c r="A2" s="66" t="s">
        <v>54</v>
      </c>
      <c r="B2" s="66"/>
      <c r="I2" s="138" t="s">
        <v>93</v>
      </c>
    </row>
    <row r="3" spans="1:15" ht="13.5" thickBot="1" x14ac:dyDescent="0.25">
      <c r="I3" s="139">
        <v>41114</v>
      </c>
      <c r="O3" s="25"/>
    </row>
    <row r="4" spans="1:15" ht="68.25" customHeight="1" x14ac:dyDescent="0.2">
      <c r="A4" s="62" t="s">
        <v>20</v>
      </c>
      <c r="B4" s="63" t="s">
        <v>21</v>
      </c>
      <c r="C4" s="64" t="s">
        <v>51</v>
      </c>
      <c r="D4" s="63" t="s">
        <v>57</v>
      </c>
      <c r="E4" s="64" t="s">
        <v>58</v>
      </c>
      <c r="F4" s="63" t="s">
        <v>81</v>
      </c>
      <c r="G4" s="64" t="s">
        <v>86</v>
      </c>
      <c r="H4" s="117" t="s">
        <v>85</v>
      </c>
      <c r="I4" s="123" t="s">
        <v>84</v>
      </c>
      <c r="J4" s="65" t="s">
        <v>59</v>
      </c>
      <c r="K4" s="64" t="s">
        <v>89</v>
      </c>
      <c r="L4" s="63" t="s">
        <v>23</v>
      </c>
      <c r="M4" s="64" t="s">
        <v>90</v>
      </c>
      <c r="N4" s="65" t="s">
        <v>24</v>
      </c>
      <c r="O4" s="101" t="s">
        <v>35</v>
      </c>
    </row>
    <row r="5" spans="1:15" x14ac:dyDescent="0.2">
      <c r="A5" s="30">
        <v>113</v>
      </c>
      <c r="B5" t="s">
        <v>22</v>
      </c>
      <c r="C5" s="34">
        <v>325692</v>
      </c>
      <c r="D5" s="31"/>
      <c r="E5" s="34">
        <f>SUM(C5:D5)</f>
        <v>325692</v>
      </c>
      <c r="F5" s="31"/>
      <c r="G5" s="31"/>
      <c r="H5" s="31">
        <f>I5-C5</f>
        <v>-11200</v>
      </c>
      <c r="I5" s="124">
        <f>325692-11200</f>
        <v>314492</v>
      </c>
      <c r="J5" s="42">
        <v>94478.84</v>
      </c>
      <c r="K5" s="34">
        <v>147690.60999999999</v>
      </c>
      <c r="L5" s="42">
        <f>SUM(J5:K5)</f>
        <v>242169.44999999998</v>
      </c>
      <c r="M5" s="34">
        <f>SUM('TB CONTRL FY 12 SAL PROJ 070912'!F10)</f>
        <v>67850.53</v>
      </c>
      <c r="N5" s="42">
        <f>SUM(L5:M5)</f>
        <v>310019.98</v>
      </c>
      <c r="O5" s="102">
        <f>I5-N5</f>
        <v>4472.0200000000186</v>
      </c>
    </row>
    <row r="6" spans="1:15" x14ac:dyDescent="0.2">
      <c r="A6" s="30"/>
      <c r="B6" s="136" t="s">
        <v>95</v>
      </c>
      <c r="C6" s="35">
        <f>SUM(C5)</f>
        <v>325692</v>
      </c>
      <c r="D6" s="35"/>
      <c r="E6" s="35">
        <f>SUM(E5)</f>
        <v>325692</v>
      </c>
      <c r="F6" s="35"/>
      <c r="G6" s="35"/>
      <c r="H6" s="118">
        <f>SUM(H5)</f>
        <v>-11200</v>
      </c>
      <c r="I6" s="133">
        <f>SUM(I5)</f>
        <v>314492</v>
      </c>
      <c r="J6" s="46">
        <f t="shared" ref="J6:O6" si="0">SUM(J5)</f>
        <v>94478.84</v>
      </c>
      <c r="K6" s="35">
        <f t="shared" si="0"/>
        <v>147690.60999999999</v>
      </c>
      <c r="L6" s="35">
        <f t="shared" si="0"/>
        <v>242169.44999999998</v>
      </c>
      <c r="M6" s="35">
        <f t="shared" si="0"/>
        <v>67850.53</v>
      </c>
      <c r="N6" s="32">
        <f t="shared" si="0"/>
        <v>310019.98</v>
      </c>
      <c r="O6" s="105">
        <f t="shared" si="0"/>
        <v>4472.0200000000186</v>
      </c>
    </row>
    <row r="7" spans="1:15" x14ac:dyDescent="0.2">
      <c r="A7" s="30"/>
      <c r="C7" s="67"/>
      <c r="D7" s="67"/>
      <c r="E7" s="67"/>
      <c r="F7" s="67"/>
      <c r="G7" s="67"/>
      <c r="H7" s="67"/>
      <c r="I7" s="125"/>
      <c r="J7" s="40"/>
      <c r="K7" s="36"/>
      <c r="L7" s="28"/>
      <c r="M7" s="36"/>
      <c r="N7" s="44"/>
      <c r="O7" s="36"/>
    </row>
    <row r="8" spans="1:15" x14ac:dyDescent="0.2">
      <c r="A8" s="30">
        <v>211</v>
      </c>
      <c r="B8" t="s">
        <v>25</v>
      </c>
      <c r="C8" s="67">
        <v>36054</v>
      </c>
      <c r="D8" s="67"/>
      <c r="E8" s="36">
        <f t="shared" ref="E8:E13" si="1">SUM(C8:D8)</f>
        <v>36054</v>
      </c>
      <c r="F8" s="36"/>
      <c r="G8" s="67"/>
      <c r="H8" s="31">
        <f t="shared" ref="H8:H13" si="2">I8-C8</f>
        <v>0</v>
      </c>
      <c r="I8" s="126">
        <v>36054</v>
      </c>
      <c r="J8" s="28">
        <v>7262.66</v>
      </c>
      <c r="K8" s="36">
        <v>15666.89</v>
      </c>
      <c r="L8" s="28">
        <f t="shared" ref="L8:L13" si="3">SUM(J8:K8)</f>
        <v>22929.55</v>
      </c>
      <c r="M8" s="36">
        <f>SUM('TB CONTRL FY 12 SAL PROJ 070912'!F13)</f>
        <v>7832.7000000000007</v>
      </c>
      <c r="N8" s="44">
        <f t="shared" ref="N8:N13" si="4">SUM(L8:M8)</f>
        <v>30762.25</v>
      </c>
      <c r="O8" s="106">
        <f t="shared" ref="O8:O13" si="5">I8-N8</f>
        <v>5291.75</v>
      </c>
    </row>
    <row r="9" spans="1:15" x14ac:dyDescent="0.2">
      <c r="A9" s="30">
        <v>212</v>
      </c>
      <c r="B9" t="s">
        <v>26</v>
      </c>
      <c r="C9" s="67">
        <v>234</v>
      </c>
      <c r="D9" s="67"/>
      <c r="E9" s="36">
        <f t="shared" si="1"/>
        <v>234</v>
      </c>
      <c r="F9" s="36"/>
      <c r="G9" s="67"/>
      <c r="H9" s="31">
        <f t="shared" si="2"/>
        <v>0</v>
      </c>
      <c r="I9" s="126">
        <v>234</v>
      </c>
      <c r="J9" s="28">
        <v>48.72</v>
      </c>
      <c r="K9" s="36">
        <v>115.17</v>
      </c>
      <c r="L9" s="28">
        <f t="shared" si="3"/>
        <v>163.89</v>
      </c>
      <c r="M9" s="36">
        <f>SUM('TB CONTRL FY 12 SAL PROJ 070912'!F14)</f>
        <v>57.599999999999994</v>
      </c>
      <c r="N9" s="44">
        <f t="shared" si="4"/>
        <v>221.48999999999998</v>
      </c>
      <c r="O9" s="106">
        <f t="shared" si="5"/>
        <v>12.510000000000019</v>
      </c>
    </row>
    <row r="10" spans="1:15" x14ac:dyDescent="0.2">
      <c r="A10" s="30">
        <v>220</v>
      </c>
      <c r="B10" t="s">
        <v>27</v>
      </c>
      <c r="C10" s="67">
        <v>24913</v>
      </c>
      <c r="D10" s="67"/>
      <c r="E10" s="36">
        <f t="shared" si="1"/>
        <v>24913</v>
      </c>
      <c r="F10" s="36"/>
      <c r="G10" s="67"/>
      <c r="H10" s="31">
        <f t="shared" si="2"/>
        <v>0</v>
      </c>
      <c r="I10" s="126">
        <v>24913</v>
      </c>
      <c r="J10" s="28">
        <v>7115.58</v>
      </c>
      <c r="K10" s="36">
        <v>11102.01</v>
      </c>
      <c r="L10" s="28">
        <f t="shared" si="3"/>
        <v>18217.59</v>
      </c>
      <c r="M10" s="36">
        <f>SUM('TB CONTRL FY 12 SAL PROJ 070912'!F15)</f>
        <v>5091.9549999999999</v>
      </c>
      <c r="N10" s="44">
        <f t="shared" si="4"/>
        <v>23309.544999999998</v>
      </c>
      <c r="O10" s="106">
        <f t="shared" si="5"/>
        <v>1603.4550000000017</v>
      </c>
    </row>
    <row r="11" spans="1:15" x14ac:dyDescent="0.2">
      <c r="A11" s="30">
        <v>230</v>
      </c>
      <c r="B11" t="s">
        <v>28</v>
      </c>
      <c r="C11" s="67">
        <v>31263</v>
      </c>
      <c r="D11" s="67"/>
      <c r="E11" s="36">
        <f t="shared" si="1"/>
        <v>31263</v>
      </c>
      <c r="F11" s="36"/>
      <c r="G11" s="67"/>
      <c r="H11" s="31">
        <f t="shared" si="2"/>
        <v>0</v>
      </c>
      <c r="I11" s="126">
        <v>31263</v>
      </c>
      <c r="J11" s="28">
        <v>9112.58</v>
      </c>
      <c r="K11" s="36">
        <v>14694.81</v>
      </c>
      <c r="L11" s="28">
        <f t="shared" si="3"/>
        <v>23807.39</v>
      </c>
      <c r="M11" s="36">
        <f>SUM('TB CONTRL FY 12 SAL PROJ 070912'!F16)</f>
        <v>6750.92</v>
      </c>
      <c r="N11" s="44">
        <f t="shared" si="4"/>
        <v>30558.309999999998</v>
      </c>
      <c r="O11" s="106">
        <f t="shared" si="5"/>
        <v>704.69000000000233</v>
      </c>
    </row>
    <row r="12" spans="1:15" x14ac:dyDescent="0.2">
      <c r="A12" s="30">
        <v>250</v>
      </c>
      <c r="B12" t="s">
        <v>29</v>
      </c>
      <c r="C12" s="67">
        <v>3257</v>
      </c>
      <c r="D12" s="67"/>
      <c r="E12" s="36">
        <f t="shared" si="1"/>
        <v>3257</v>
      </c>
      <c r="F12" s="36"/>
      <c r="G12" s="67"/>
      <c r="H12" s="31">
        <f t="shared" si="2"/>
        <v>0</v>
      </c>
      <c r="I12" s="126">
        <v>3257</v>
      </c>
      <c r="J12" s="28">
        <v>472.44</v>
      </c>
      <c r="K12" s="36">
        <v>738.35</v>
      </c>
      <c r="L12" s="28">
        <f t="shared" si="3"/>
        <v>1210.79</v>
      </c>
      <c r="M12" s="36">
        <f>SUM('TB CONTRL FY 12 SAL PROJ 070912'!F17)</f>
        <v>683.73500000000001</v>
      </c>
      <c r="N12" s="44">
        <f t="shared" si="4"/>
        <v>1894.5250000000001</v>
      </c>
      <c r="O12" s="106">
        <f t="shared" si="5"/>
        <v>1362.4749999999999</v>
      </c>
    </row>
    <row r="13" spans="1:15" x14ac:dyDescent="0.2">
      <c r="A13" s="30">
        <v>260</v>
      </c>
      <c r="B13" t="s">
        <v>30</v>
      </c>
      <c r="C13" s="33">
        <v>4299</v>
      </c>
      <c r="D13" s="33"/>
      <c r="E13" s="37">
        <f t="shared" si="1"/>
        <v>4299</v>
      </c>
      <c r="F13" s="37"/>
      <c r="G13" s="33"/>
      <c r="H13" s="31">
        <f t="shared" si="2"/>
        <v>-4299</v>
      </c>
      <c r="I13" s="127">
        <f>4299-4299</f>
        <v>0</v>
      </c>
      <c r="J13" s="29">
        <v>0</v>
      </c>
      <c r="K13" s="37"/>
      <c r="L13" s="37">
        <f t="shared" si="3"/>
        <v>0</v>
      </c>
      <c r="M13" s="37"/>
      <c r="N13" s="33">
        <f t="shared" si="4"/>
        <v>0</v>
      </c>
      <c r="O13" s="107">
        <f t="shared" si="5"/>
        <v>0</v>
      </c>
    </row>
    <row r="14" spans="1:15" x14ac:dyDescent="0.2">
      <c r="A14" s="30"/>
      <c r="B14" s="136" t="s">
        <v>94</v>
      </c>
      <c r="C14" s="35">
        <f>SUM(C8:C13)</f>
        <v>100020</v>
      </c>
      <c r="D14" s="35"/>
      <c r="E14" s="35">
        <f>SUM(E8:E13)</f>
        <v>100020</v>
      </c>
      <c r="F14" s="35"/>
      <c r="G14" s="35"/>
      <c r="H14" s="118">
        <f>SUM(H8:H13)</f>
        <v>-4299</v>
      </c>
      <c r="I14" s="133">
        <f>SUM(I8:I13)</f>
        <v>95721</v>
      </c>
      <c r="J14" s="46">
        <f t="shared" ref="J14:O14" si="6">SUM(J8:J13)</f>
        <v>24011.98</v>
      </c>
      <c r="K14" s="35">
        <f t="shared" si="6"/>
        <v>42317.229999999996</v>
      </c>
      <c r="L14" s="35">
        <f t="shared" si="6"/>
        <v>66329.209999999992</v>
      </c>
      <c r="M14" s="35">
        <f t="shared" si="6"/>
        <v>20416.910000000003</v>
      </c>
      <c r="N14" s="35">
        <f t="shared" si="6"/>
        <v>86746.12</v>
      </c>
      <c r="O14" s="105">
        <f t="shared" si="6"/>
        <v>8974.8800000000047</v>
      </c>
    </row>
    <row r="15" spans="1:15" x14ac:dyDescent="0.2">
      <c r="A15" s="30"/>
      <c r="C15" s="36"/>
      <c r="D15" s="36"/>
      <c r="E15" s="36"/>
      <c r="F15" s="36"/>
      <c r="G15" s="36"/>
      <c r="H15" s="67"/>
      <c r="I15" s="125"/>
      <c r="J15" s="28"/>
      <c r="K15" s="36"/>
      <c r="L15" s="28"/>
      <c r="M15" s="36"/>
      <c r="N15" s="40"/>
      <c r="O15" s="36"/>
    </row>
    <row r="16" spans="1:15" x14ac:dyDescent="0.2">
      <c r="A16" s="30">
        <v>581</v>
      </c>
      <c r="B16" t="s">
        <v>31</v>
      </c>
      <c r="C16" s="36">
        <v>1650</v>
      </c>
      <c r="D16" s="36"/>
      <c r="E16" s="36">
        <f>SUM(C16:D16)</f>
        <v>1650</v>
      </c>
      <c r="F16" s="36"/>
      <c r="G16" s="67"/>
      <c r="H16" s="31">
        <f>I16-C16</f>
        <v>0</v>
      </c>
      <c r="I16" s="128">
        <v>1650</v>
      </c>
      <c r="J16" s="28">
        <v>626.37</v>
      </c>
      <c r="K16" s="36">
        <v>678.78</v>
      </c>
      <c r="L16" s="28">
        <f>SUM(J16:K16)</f>
        <v>1305.1500000000001</v>
      </c>
      <c r="M16" s="67">
        <v>88</v>
      </c>
      <c r="N16" s="36">
        <f>SUM(L16:M16)</f>
        <v>1393.15</v>
      </c>
      <c r="O16" s="111">
        <f>I16-N16</f>
        <v>256.84999999999991</v>
      </c>
    </row>
    <row r="17" spans="1:15" x14ac:dyDescent="0.2">
      <c r="A17" s="30">
        <v>583</v>
      </c>
      <c r="B17" t="s">
        <v>32</v>
      </c>
      <c r="C17" s="37">
        <v>0</v>
      </c>
      <c r="D17" s="37"/>
      <c r="E17" s="37"/>
      <c r="F17" s="37"/>
      <c r="G17" s="33"/>
      <c r="H17" s="31">
        <f>I17-C17</f>
        <v>425</v>
      </c>
      <c r="I17" s="127">
        <v>425</v>
      </c>
      <c r="J17" s="29"/>
      <c r="K17" s="37"/>
      <c r="L17" s="37">
        <f>SUM(J17:K17)</f>
        <v>0</v>
      </c>
      <c r="M17" s="37">
        <v>418.2</v>
      </c>
      <c r="N17" s="43">
        <f>SUM(L17:M17)</f>
        <v>418.2</v>
      </c>
      <c r="O17" s="111">
        <f>I17-N17</f>
        <v>6.8000000000000114</v>
      </c>
    </row>
    <row r="18" spans="1:15" x14ac:dyDescent="0.2">
      <c r="A18" s="30"/>
      <c r="B18" s="136" t="s">
        <v>96</v>
      </c>
      <c r="C18" s="35">
        <f>SUM(C16:C17)</f>
        <v>1650</v>
      </c>
      <c r="D18" s="35"/>
      <c r="E18" s="35">
        <f>SUM(E16:E17)</f>
        <v>1650</v>
      </c>
      <c r="F18" s="35"/>
      <c r="G18" s="35"/>
      <c r="H18" s="120">
        <f>SUM(H16:H17)</f>
        <v>425</v>
      </c>
      <c r="I18" s="133">
        <f>SUM(I16:I17)</f>
        <v>2075</v>
      </c>
      <c r="J18" s="46">
        <f t="shared" ref="J18:O18" si="7">SUM(J16:J17)</f>
        <v>626.37</v>
      </c>
      <c r="K18" s="35">
        <f t="shared" si="7"/>
        <v>678.78</v>
      </c>
      <c r="L18" s="35">
        <f t="shared" si="7"/>
        <v>1305.1500000000001</v>
      </c>
      <c r="M18" s="35">
        <f t="shared" si="7"/>
        <v>506.2</v>
      </c>
      <c r="N18" s="32">
        <f t="shared" si="7"/>
        <v>1811.3500000000001</v>
      </c>
      <c r="O18" s="108">
        <f t="shared" si="7"/>
        <v>263.64999999999992</v>
      </c>
    </row>
    <row r="19" spans="1:15" x14ac:dyDescent="0.2">
      <c r="A19" s="30"/>
      <c r="B19" s="1"/>
      <c r="C19" s="52"/>
      <c r="D19" s="52"/>
      <c r="E19" s="52"/>
      <c r="F19" s="52"/>
      <c r="G19" s="52"/>
      <c r="H19" s="98"/>
      <c r="I19" s="129"/>
      <c r="J19" s="55"/>
      <c r="K19" s="52"/>
      <c r="L19" s="55"/>
      <c r="M19" s="52"/>
      <c r="N19" s="55"/>
      <c r="O19" s="52"/>
    </row>
    <row r="20" spans="1:15" x14ac:dyDescent="0.2">
      <c r="A20" s="30">
        <v>748</v>
      </c>
      <c r="B20" s="91"/>
      <c r="C20" s="37"/>
      <c r="D20" s="37"/>
      <c r="E20" s="37"/>
      <c r="F20" s="37">
        <v>3240</v>
      </c>
      <c r="G20" s="33"/>
      <c r="H20" s="114">
        <v>0</v>
      </c>
      <c r="I20" s="130">
        <f>SUM(F20)</f>
        <v>3240</v>
      </c>
      <c r="J20" s="29"/>
      <c r="K20" s="37"/>
      <c r="L20" s="29"/>
      <c r="M20" s="113">
        <v>2597.59</v>
      </c>
      <c r="N20" s="33">
        <f>SUM(L20:M20)</f>
        <v>2597.59</v>
      </c>
      <c r="O20" s="107">
        <f>I20-N20</f>
        <v>642.40999999999985</v>
      </c>
    </row>
    <row r="21" spans="1:15" x14ac:dyDescent="0.2">
      <c r="A21" s="30"/>
      <c r="B21" s="136" t="s">
        <v>97</v>
      </c>
      <c r="C21" s="35"/>
      <c r="D21" s="35"/>
      <c r="E21" s="35"/>
      <c r="F21" s="35">
        <f>SUM(F20)</f>
        <v>3240</v>
      </c>
      <c r="G21" s="35"/>
      <c r="H21" s="32">
        <f>SUM(H20)</f>
        <v>0</v>
      </c>
      <c r="I21" s="133">
        <f>SUM(I20)</f>
        <v>3240</v>
      </c>
      <c r="J21" s="48"/>
      <c r="K21" s="35"/>
      <c r="L21" s="48"/>
      <c r="M21" s="35"/>
      <c r="N21" s="49"/>
      <c r="O21" s="105">
        <f>SUM(O20:O20)</f>
        <v>642.40999999999985</v>
      </c>
    </row>
    <row r="22" spans="1:15" x14ac:dyDescent="0.2">
      <c r="A22" s="30"/>
      <c r="C22" s="36"/>
      <c r="D22" s="36"/>
      <c r="E22" s="36"/>
      <c r="F22" s="36"/>
      <c r="G22" s="36"/>
      <c r="H22" s="67"/>
      <c r="I22" s="125"/>
      <c r="J22" s="28"/>
      <c r="K22" s="36"/>
      <c r="L22" s="28"/>
      <c r="M22" s="36"/>
      <c r="N22" s="44"/>
      <c r="O22" s="36"/>
    </row>
    <row r="23" spans="1:15" x14ac:dyDescent="0.2">
      <c r="A23" s="30">
        <v>601</v>
      </c>
      <c r="B23" t="s">
        <v>33</v>
      </c>
      <c r="C23" s="36">
        <v>5145</v>
      </c>
      <c r="D23" s="36">
        <v>8000</v>
      </c>
      <c r="E23" s="36">
        <f>SUM(C23:D23)</f>
        <v>13145</v>
      </c>
      <c r="F23" s="36"/>
      <c r="G23" s="67">
        <v>6000</v>
      </c>
      <c r="H23" s="31">
        <v>15550</v>
      </c>
      <c r="I23" s="128">
        <f>11395+5000-2500+6000+9800+5000</f>
        <v>34695</v>
      </c>
      <c r="J23" s="44">
        <v>0</v>
      </c>
      <c r="K23" s="36">
        <v>8581.8700000000008</v>
      </c>
      <c r="L23" s="44">
        <f>SUM(J23:K23)</f>
        <v>8581.8700000000008</v>
      </c>
      <c r="M23" s="112">
        <f>1770.94+23388.13</f>
        <v>25159.07</v>
      </c>
      <c r="N23" s="44">
        <f t="shared" ref="N23:N30" si="8">SUM(L23:M23)</f>
        <v>33740.94</v>
      </c>
      <c r="O23" s="111">
        <f t="shared" ref="O23:O30" si="9">I23-N23</f>
        <v>954.05999999999767</v>
      </c>
    </row>
    <row r="24" spans="1:15" x14ac:dyDescent="0.2">
      <c r="A24" s="30">
        <v>604</v>
      </c>
      <c r="B24" t="s">
        <v>47</v>
      </c>
      <c r="C24" s="36">
        <v>2000</v>
      </c>
      <c r="D24" s="36">
        <v>8000</v>
      </c>
      <c r="E24" s="36">
        <f>SUM(C24:D24)</f>
        <v>10000</v>
      </c>
      <c r="F24" s="36"/>
      <c r="G24" s="67">
        <v>6000</v>
      </c>
      <c r="H24" s="114">
        <v>4299</v>
      </c>
      <c r="I24" s="128">
        <f>10000+4299+6000</f>
        <v>20299</v>
      </c>
      <c r="J24" s="44">
        <v>3073.08</v>
      </c>
      <c r="K24" s="36">
        <v>340</v>
      </c>
      <c r="L24" s="44">
        <f t="shared" ref="L24:L30" si="10">SUM(J24:K24)</f>
        <v>3413.08</v>
      </c>
      <c r="M24" s="52">
        <f>724.08+6591.6+636.22</f>
        <v>7951.9000000000005</v>
      </c>
      <c r="N24" s="44">
        <f t="shared" si="8"/>
        <v>11364.98</v>
      </c>
      <c r="O24" s="111">
        <f t="shared" si="9"/>
        <v>8934.02</v>
      </c>
    </row>
    <row r="25" spans="1:15" x14ac:dyDescent="0.2">
      <c r="A25" s="30">
        <v>605</v>
      </c>
      <c r="B25" t="s">
        <v>101</v>
      </c>
      <c r="C25" s="36"/>
      <c r="D25" s="36"/>
      <c r="E25" s="36"/>
      <c r="F25" s="36"/>
      <c r="G25" s="67"/>
      <c r="H25" s="114">
        <v>1158.93</v>
      </c>
      <c r="I25" s="128">
        <v>1158.93</v>
      </c>
      <c r="J25" s="44"/>
      <c r="K25" s="36"/>
      <c r="L25" s="44"/>
      <c r="M25" s="52">
        <v>1135.6400000000001</v>
      </c>
      <c r="N25" s="44">
        <f t="shared" si="8"/>
        <v>1135.6400000000001</v>
      </c>
      <c r="O25" s="111">
        <f t="shared" si="9"/>
        <v>23.289999999999964</v>
      </c>
    </row>
    <row r="26" spans="1:15" x14ac:dyDescent="0.2">
      <c r="A26" s="30">
        <v>607</v>
      </c>
      <c r="B26" t="s">
        <v>78</v>
      </c>
      <c r="C26" s="36">
        <v>0</v>
      </c>
      <c r="D26" s="36"/>
      <c r="E26" s="36"/>
      <c r="F26" s="36"/>
      <c r="G26" s="67"/>
      <c r="H26" s="114">
        <f>I26-C26</f>
        <v>4575</v>
      </c>
      <c r="I26" s="128">
        <f>5000-425</f>
        <v>4575</v>
      </c>
      <c r="J26" s="44"/>
      <c r="K26" s="112">
        <v>2761.4</v>
      </c>
      <c r="L26" s="44">
        <f t="shared" si="10"/>
        <v>2761.4</v>
      </c>
      <c r="M26" s="112">
        <v>508.4</v>
      </c>
      <c r="N26" s="44">
        <f t="shared" si="8"/>
        <v>3269.8</v>
      </c>
      <c r="O26" s="111">
        <f t="shared" si="9"/>
        <v>1305.1999999999998</v>
      </c>
    </row>
    <row r="27" spans="1:15" x14ac:dyDescent="0.2">
      <c r="A27" s="30">
        <v>619</v>
      </c>
      <c r="B27" t="s">
        <v>79</v>
      </c>
      <c r="C27" s="36">
        <v>0</v>
      </c>
      <c r="D27" s="36"/>
      <c r="E27" s="36"/>
      <c r="F27" s="36"/>
      <c r="G27" s="67"/>
      <c r="H27" s="114">
        <f>I27-C27</f>
        <v>41.07000000000005</v>
      </c>
      <c r="I27" s="128">
        <f>200+2500-1925-733.93</f>
        <v>41.07000000000005</v>
      </c>
      <c r="J27" s="44"/>
      <c r="K27" s="36">
        <v>41.07</v>
      </c>
      <c r="L27" s="44">
        <f t="shared" si="10"/>
        <v>41.07</v>
      </c>
      <c r="M27" s="116">
        <v>0</v>
      </c>
      <c r="N27" s="44">
        <f t="shared" si="8"/>
        <v>41.07</v>
      </c>
      <c r="O27" s="111">
        <f t="shared" si="9"/>
        <v>0</v>
      </c>
    </row>
    <row r="28" spans="1:15" x14ac:dyDescent="0.2">
      <c r="A28" s="30">
        <v>661</v>
      </c>
      <c r="B28" t="s">
        <v>87</v>
      </c>
      <c r="C28" s="36">
        <v>0</v>
      </c>
      <c r="D28" s="36"/>
      <c r="E28" s="36"/>
      <c r="F28" s="36"/>
      <c r="G28" s="67"/>
      <c r="H28" s="114">
        <f>2900+1500</f>
        <v>4400</v>
      </c>
      <c r="I28" s="128">
        <f>2900+1500</f>
        <v>4400</v>
      </c>
      <c r="J28" s="44"/>
      <c r="K28" s="36"/>
      <c r="L28" s="44">
        <f t="shared" si="10"/>
        <v>0</v>
      </c>
      <c r="M28" s="116">
        <v>4384.8999999999996</v>
      </c>
      <c r="N28" s="44">
        <f t="shared" si="8"/>
        <v>4384.8999999999996</v>
      </c>
      <c r="O28" s="111">
        <f t="shared" si="9"/>
        <v>15.100000000000364</v>
      </c>
    </row>
    <row r="29" spans="1:15" x14ac:dyDescent="0.2">
      <c r="A29" s="30">
        <v>672</v>
      </c>
      <c r="B29" t="s">
        <v>80</v>
      </c>
      <c r="C29" s="36">
        <v>0</v>
      </c>
      <c r="D29" s="36"/>
      <c r="E29" s="36"/>
      <c r="F29" s="36"/>
      <c r="G29" s="67"/>
      <c r="H29" s="115">
        <f>I29-C29</f>
        <v>450</v>
      </c>
      <c r="I29" s="128">
        <v>450</v>
      </c>
      <c r="J29" s="44">
        <v>435.39</v>
      </c>
      <c r="K29" s="36"/>
      <c r="L29" s="44">
        <f t="shared" si="10"/>
        <v>435.39</v>
      </c>
      <c r="M29" s="36"/>
      <c r="N29" s="44">
        <f t="shared" si="8"/>
        <v>435.39</v>
      </c>
      <c r="O29" s="111">
        <f t="shared" si="9"/>
        <v>14.610000000000014</v>
      </c>
    </row>
    <row r="30" spans="1:15" x14ac:dyDescent="0.2">
      <c r="A30" s="30">
        <v>743</v>
      </c>
      <c r="B30" t="s">
        <v>88</v>
      </c>
      <c r="C30" s="29">
        <v>0</v>
      </c>
      <c r="D30" s="37"/>
      <c r="E30" s="29"/>
      <c r="F30" s="37"/>
      <c r="G30" s="29"/>
      <c r="H30" s="119">
        <v>3500</v>
      </c>
      <c r="I30" s="130">
        <v>3500</v>
      </c>
      <c r="J30" s="43"/>
      <c r="K30" s="29"/>
      <c r="L30" s="37">
        <f t="shared" si="10"/>
        <v>0</v>
      </c>
      <c r="M30" s="29">
        <v>3310.95</v>
      </c>
      <c r="N30" s="37">
        <f t="shared" si="8"/>
        <v>3310.95</v>
      </c>
      <c r="O30" s="107">
        <f t="shared" si="9"/>
        <v>189.05000000000018</v>
      </c>
    </row>
    <row r="31" spans="1:15" x14ac:dyDescent="0.2">
      <c r="A31" s="30"/>
      <c r="B31" s="136" t="s">
        <v>98</v>
      </c>
      <c r="C31" s="35">
        <f>SUM(C23:C30)</f>
        <v>7145</v>
      </c>
      <c r="D31" s="35">
        <f>SUM(D23:D29)</f>
        <v>16000</v>
      </c>
      <c r="E31" s="35">
        <f>SUM(E23:E29)</f>
        <v>23145</v>
      </c>
      <c r="F31" s="35"/>
      <c r="G31" s="35">
        <f>SUM(G23:G29)</f>
        <v>12000</v>
      </c>
      <c r="H31" s="120">
        <f>SUM(H23:H30)</f>
        <v>33974</v>
      </c>
      <c r="I31" s="133">
        <f>SUM(I23:I30)</f>
        <v>69119</v>
      </c>
      <c r="J31" s="46">
        <f>SUM(J23:J29)</f>
        <v>3508.47</v>
      </c>
      <c r="K31" s="35">
        <f>SUM(K23:K29)</f>
        <v>11724.34</v>
      </c>
      <c r="L31" s="35">
        <f>SUM(L23:L29)</f>
        <v>15232.81</v>
      </c>
      <c r="M31" s="35">
        <f>SUM(M23:M24)</f>
        <v>33110.97</v>
      </c>
      <c r="N31" s="35">
        <f>SUM(N23:N29)</f>
        <v>54372.72</v>
      </c>
      <c r="O31" s="105">
        <f>SUM(O23:O30)</f>
        <v>11435.330000000002</v>
      </c>
    </row>
    <row r="32" spans="1:15" x14ac:dyDescent="0.2">
      <c r="A32" s="30"/>
      <c r="C32" s="52"/>
      <c r="D32" s="52"/>
      <c r="E32" s="52"/>
      <c r="F32" s="52"/>
      <c r="G32" s="52"/>
      <c r="H32" s="98"/>
      <c r="I32" s="129"/>
      <c r="J32" s="55"/>
      <c r="K32" s="52"/>
      <c r="L32" s="55"/>
      <c r="M32" s="52"/>
      <c r="N32" s="55"/>
      <c r="O32" s="52"/>
    </row>
    <row r="33" spans="1:15" x14ac:dyDescent="0.2">
      <c r="A33" s="30">
        <v>339</v>
      </c>
      <c r="B33" t="s">
        <v>55</v>
      </c>
      <c r="C33" s="36">
        <v>9000</v>
      </c>
      <c r="D33" s="36"/>
      <c r="E33" s="36">
        <f>SUM(C33:D33)</f>
        <v>9000</v>
      </c>
      <c r="F33" s="36">
        <v>15000</v>
      </c>
      <c r="G33" s="67"/>
      <c r="H33" s="31">
        <v>-21200</v>
      </c>
      <c r="I33" s="130">
        <f>SUM(E33:F33)-16200-5000</f>
        <v>2800</v>
      </c>
      <c r="J33" s="28"/>
      <c r="K33" s="36"/>
      <c r="L33" s="44"/>
      <c r="M33" s="67"/>
      <c r="N33" s="36"/>
      <c r="O33" s="111">
        <f>I33-N33</f>
        <v>2800</v>
      </c>
    </row>
    <row r="34" spans="1:15" x14ac:dyDescent="0.2">
      <c r="A34" s="30"/>
      <c r="B34" s="136" t="s">
        <v>99</v>
      </c>
      <c r="C34" s="35">
        <f>SUM(C33:C33)</f>
        <v>9000</v>
      </c>
      <c r="D34" s="35"/>
      <c r="E34" s="35">
        <f>SUM(E33:E33)</f>
        <v>9000</v>
      </c>
      <c r="F34" s="35">
        <f>SUM(F33:F33)</f>
        <v>15000</v>
      </c>
      <c r="G34" s="35"/>
      <c r="H34" s="118">
        <f>SUM(H33:H33)</f>
        <v>-21200</v>
      </c>
      <c r="I34" s="133">
        <f>SUM(I33:I33)</f>
        <v>2800</v>
      </c>
      <c r="J34" s="46">
        <f>SUM(J33:J33)</f>
        <v>0</v>
      </c>
      <c r="K34" s="35">
        <f>SUM(K33:K33)</f>
        <v>0</v>
      </c>
      <c r="L34" s="48">
        <f>SUM(J34:K34)</f>
        <v>0</v>
      </c>
      <c r="M34" s="35">
        <v>0</v>
      </c>
      <c r="N34" s="49">
        <f>SUM(L34:M34)</f>
        <v>0</v>
      </c>
      <c r="O34" s="105">
        <f>SUM(O33:O33)</f>
        <v>2800</v>
      </c>
    </row>
    <row r="35" spans="1:15" x14ac:dyDescent="0.2">
      <c r="A35" s="30"/>
      <c r="C35" s="52"/>
      <c r="D35" s="52"/>
      <c r="E35" s="52"/>
      <c r="F35" s="52"/>
      <c r="G35" s="52"/>
      <c r="H35" s="98"/>
      <c r="I35" s="129"/>
      <c r="J35" s="54"/>
      <c r="K35" s="52"/>
      <c r="L35" s="54"/>
      <c r="M35" s="52"/>
      <c r="N35" s="55"/>
      <c r="O35" s="52"/>
    </row>
    <row r="36" spans="1:15" x14ac:dyDescent="0.2">
      <c r="A36" s="30">
        <v>336</v>
      </c>
      <c r="B36" t="s">
        <v>61</v>
      </c>
      <c r="C36" s="52"/>
      <c r="D36" s="52"/>
      <c r="E36" s="52"/>
      <c r="F36" s="52"/>
      <c r="G36" s="98"/>
      <c r="H36" s="31">
        <f t="shared" ref="H36:H42" si="11">I36-C36</f>
        <v>2796</v>
      </c>
      <c r="I36" s="128">
        <v>2796</v>
      </c>
      <c r="J36" s="54"/>
      <c r="K36" s="52"/>
      <c r="L36" s="44">
        <f>SUM(J36:K36)</f>
        <v>0</v>
      </c>
      <c r="M36" s="52"/>
      <c r="N36" s="44">
        <f t="shared" ref="N36:N42" si="12">SUM(L36:M36)</f>
        <v>0</v>
      </c>
      <c r="O36" s="111">
        <f t="shared" ref="O36:O42" si="13">I36-N36</f>
        <v>2796</v>
      </c>
    </row>
    <row r="37" spans="1:15" x14ac:dyDescent="0.2">
      <c r="A37" s="30">
        <v>350</v>
      </c>
      <c r="B37" t="s">
        <v>62</v>
      </c>
      <c r="C37" s="52"/>
      <c r="D37" s="52"/>
      <c r="E37" s="52"/>
      <c r="F37" s="52"/>
      <c r="G37" s="98"/>
      <c r="H37" s="31">
        <f t="shared" si="11"/>
        <v>800</v>
      </c>
      <c r="I37" s="128">
        <v>800</v>
      </c>
      <c r="J37" s="54"/>
      <c r="K37" s="52"/>
      <c r="L37" s="44"/>
      <c r="M37" s="52"/>
      <c r="N37" s="44"/>
      <c r="O37" s="111">
        <f t="shared" si="13"/>
        <v>800</v>
      </c>
    </row>
    <row r="38" spans="1:15" x14ac:dyDescent="0.2">
      <c r="A38" s="30">
        <v>431</v>
      </c>
      <c r="B38" t="s">
        <v>56</v>
      </c>
      <c r="C38" s="52">
        <v>9000</v>
      </c>
      <c r="D38" s="52"/>
      <c r="E38" s="36">
        <f>SUM(C38:D38)</f>
        <v>9000</v>
      </c>
      <c r="F38" s="36"/>
      <c r="G38" s="67"/>
      <c r="H38" s="31">
        <f t="shared" si="11"/>
        <v>0</v>
      </c>
      <c r="I38" s="128">
        <v>9000</v>
      </c>
      <c r="J38" s="54"/>
      <c r="K38" s="52"/>
      <c r="L38" s="44"/>
      <c r="M38" s="52">
        <v>8780</v>
      </c>
      <c r="N38" s="44">
        <f t="shared" si="12"/>
        <v>8780</v>
      </c>
      <c r="O38" s="111">
        <f t="shared" si="13"/>
        <v>220</v>
      </c>
    </row>
    <row r="39" spans="1:15" x14ac:dyDescent="0.2">
      <c r="A39" s="30">
        <v>432</v>
      </c>
      <c r="B39" t="s">
        <v>82</v>
      </c>
      <c r="C39" s="52">
        <v>0</v>
      </c>
      <c r="D39" s="52">
        <v>0</v>
      </c>
      <c r="E39" s="36">
        <v>0</v>
      </c>
      <c r="F39" s="36">
        <v>33454</v>
      </c>
      <c r="G39" s="67"/>
      <c r="H39" s="31">
        <v>0</v>
      </c>
      <c r="I39" s="128">
        <f>SUM(F39)</f>
        <v>33454</v>
      </c>
      <c r="J39" s="54"/>
      <c r="K39" s="52"/>
      <c r="L39" s="44"/>
      <c r="M39" s="52"/>
      <c r="N39" s="44"/>
      <c r="O39" s="111">
        <f t="shared" si="13"/>
        <v>33454</v>
      </c>
    </row>
    <row r="40" spans="1:15" x14ac:dyDescent="0.2">
      <c r="A40" s="30">
        <v>540</v>
      </c>
      <c r="B40" t="s">
        <v>42</v>
      </c>
      <c r="C40" s="36">
        <v>1500</v>
      </c>
      <c r="D40" s="36"/>
      <c r="E40" s="36">
        <f>SUM(C40:D40)</f>
        <v>1500</v>
      </c>
      <c r="F40" s="36"/>
      <c r="G40" s="67"/>
      <c r="H40" s="31">
        <f t="shared" si="11"/>
        <v>-1500</v>
      </c>
      <c r="I40" s="126"/>
      <c r="J40" s="54"/>
      <c r="K40" s="52"/>
      <c r="L40" s="44">
        <f>SUM(J40:K40)</f>
        <v>0</v>
      </c>
      <c r="M40" s="52"/>
      <c r="N40" s="44">
        <f t="shared" si="12"/>
        <v>0</v>
      </c>
      <c r="O40" s="112">
        <f t="shared" si="13"/>
        <v>0</v>
      </c>
    </row>
    <row r="41" spans="1:15" x14ac:dyDescent="0.2">
      <c r="A41" s="30">
        <v>550</v>
      </c>
      <c r="B41" t="s">
        <v>43</v>
      </c>
      <c r="C41" s="36">
        <v>1500</v>
      </c>
      <c r="D41" s="36"/>
      <c r="E41" s="36">
        <f>SUM(C41:D41)</f>
        <v>1500</v>
      </c>
      <c r="F41" s="36"/>
      <c r="G41" s="67"/>
      <c r="H41" s="31">
        <f t="shared" si="11"/>
        <v>-296</v>
      </c>
      <c r="I41" s="128">
        <f>204+1000</f>
        <v>1204</v>
      </c>
      <c r="J41" s="28"/>
      <c r="K41" s="36"/>
      <c r="L41" s="28">
        <f>SUM(J41:K41)</f>
        <v>0</v>
      </c>
      <c r="M41" s="112">
        <v>568.14</v>
      </c>
      <c r="N41" s="44">
        <f t="shared" si="12"/>
        <v>568.14</v>
      </c>
      <c r="O41" s="111">
        <f t="shared" si="13"/>
        <v>635.86</v>
      </c>
    </row>
    <row r="42" spans="1:15" x14ac:dyDescent="0.2">
      <c r="A42" s="30">
        <v>811</v>
      </c>
      <c r="B42" t="s">
        <v>48</v>
      </c>
      <c r="C42" s="37"/>
      <c r="D42" s="37"/>
      <c r="E42" s="37">
        <f>SUM(C42:D42)</f>
        <v>0</v>
      </c>
      <c r="F42" s="37"/>
      <c r="G42" s="33"/>
      <c r="H42" s="114">
        <f t="shared" si="11"/>
        <v>500</v>
      </c>
      <c r="I42" s="130">
        <v>500</v>
      </c>
      <c r="J42" s="29"/>
      <c r="K42" s="113">
        <v>218</v>
      </c>
      <c r="L42" s="29">
        <f>SUM(J42:K42)</f>
        <v>218</v>
      </c>
      <c r="M42" s="37"/>
      <c r="N42" s="29">
        <f t="shared" si="12"/>
        <v>218</v>
      </c>
      <c r="O42" s="107">
        <f t="shared" si="13"/>
        <v>282</v>
      </c>
    </row>
    <row r="43" spans="1:15" x14ac:dyDescent="0.2">
      <c r="A43" s="30"/>
      <c r="B43" s="136" t="s">
        <v>100</v>
      </c>
      <c r="C43" s="38">
        <f>SUM(C36:C42)</f>
        <v>12000</v>
      </c>
      <c r="D43" s="38"/>
      <c r="E43" s="38">
        <f>SUM(E38:E42)</f>
        <v>12000</v>
      </c>
      <c r="F43" s="38">
        <f>SUM(F38:F42)</f>
        <v>33454</v>
      </c>
      <c r="G43" s="38"/>
      <c r="H43" s="121">
        <f>SUM(H36:H42)</f>
        <v>2300</v>
      </c>
      <c r="I43" s="134">
        <f>SUM(I36:I42)</f>
        <v>47754</v>
      </c>
      <c r="J43" s="47">
        <f>SUM(J40:J42)</f>
        <v>0</v>
      </c>
      <c r="K43" s="47">
        <f>SUM(K36:K42)</f>
        <v>218</v>
      </c>
      <c r="L43" s="38">
        <f>SUM(L36:L42)</f>
        <v>218</v>
      </c>
      <c r="M43" s="38">
        <f>SUM(M40:M42)</f>
        <v>568.14</v>
      </c>
      <c r="N43" s="38">
        <f>SUM(N40:N42)</f>
        <v>786.14</v>
      </c>
      <c r="O43" s="109">
        <f>SUM(O36:O42)</f>
        <v>38187.86</v>
      </c>
    </row>
    <row r="44" spans="1:15" x14ac:dyDescent="0.2">
      <c r="A44" s="30"/>
      <c r="C44" s="50"/>
      <c r="D44" s="50"/>
      <c r="E44" s="50"/>
      <c r="F44" s="50"/>
      <c r="G44" s="50"/>
      <c r="H44" s="122"/>
      <c r="I44" s="131"/>
      <c r="J44" s="51"/>
      <c r="K44" s="52"/>
      <c r="L44" s="51"/>
      <c r="M44" s="50"/>
      <c r="N44" s="53"/>
      <c r="O44" s="50"/>
    </row>
    <row r="45" spans="1:15" ht="13.5" thickBot="1" x14ac:dyDescent="0.25">
      <c r="A45" s="30"/>
      <c r="C45" s="30"/>
      <c r="D45" s="30"/>
      <c r="E45" s="30"/>
      <c r="F45" s="30"/>
      <c r="G45" s="30"/>
      <c r="H45" s="6"/>
      <c r="I45" s="132"/>
      <c r="K45" s="30"/>
      <c r="M45" s="30"/>
      <c r="N45" s="41"/>
      <c r="O45" s="30"/>
    </row>
    <row r="46" spans="1:15" ht="13.5" thickBot="1" x14ac:dyDescent="0.25">
      <c r="A46" s="30"/>
      <c r="B46" s="137" t="s">
        <v>34</v>
      </c>
      <c r="C46" s="39">
        <f>SUM(C6+C14+C18+C31+C34+C43)</f>
        <v>455507</v>
      </c>
      <c r="D46" s="39">
        <f>SUM(D6+D14+D18+D31+D34+D43)</f>
        <v>16000</v>
      </c>
      <c r="E46" s="39">
        <f>SUM(E6+E14+E18+E31+E34+E43)</f>
        <v>471507</v>
      </c>
      <c r="F46" s="39">
        <f>SUM(F6+F14+F18+F21+F31+F34+F43)</f>
        <v>51694</v>
      </c>
      <c r="G46" s="39">
        <f>SUM(G6+G14+G18+G21+G31+G34+G43)</f>
        <v>12000</v>
      </c>
      <c r="H46" s="39">
        <f>SUM(H6+H14+H18+H31+H34+H43)</f>
        <v>0</v>
      </c>
      <c r="I46" s="135">
        <f>SUM(I6+I14+I18+I21+I31+I34+I43)</f>
        <v>535201</v>
      </c>
      <c r="J46" s="39">
        <f>SUM(J6+J14+J18+J31+J34+J43)</f>
        <v>122625.65999999999</v>
      </c>
      <c r="K46" s="39">
        <f>SUM(K6+K14+K18+K31+K34+K43)</f>
        <v>202628.95999999996</v>
      </c>
      <c r="L46" s="39">
        <f>SUM(L6+L14+L18+L31+L34+L43)</f>
        <v>325254.62</v>
      </c>
      <c r="M46" s="39">
        <f>SUM(M6+M14+M18+M31+M34+M43)</f>
        <v>122452.75</v>
      </c>
      <c r="N46" s="39">
        <f>SUM(N6+N14+N18+N31+N34+N43)</f>
        <v>453736.30999999994</v>
      </c>
      <c r="O46" s="104">
        <f>SUM(O6+O14+O18+O20+O31+O34+O43)</f>
        <v>66776.150000000023</v>
      </c>
    </row>
    <row r="47" spans="1:15" ht="13.5" thickTop="1" x14ac:dyDescent="0.2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">
      <c r="B48" s="1"/>
      <c r="C48" s="110" t="s">
        <v>91</v>
      </c>
    </row>
    <row r="49" spans="2:7" x14ac:dyDescent="0.2">
      <c r="C49" s="110" t="s">
        <v>92</v>
      </c>
      <c r="D49" s="110"/>
      <c r="E49" s="110"/>
      <c r="F49" s="110"/>
      <c r="G49" s="110"/>
    </row>
    <row r="50" spans="2:7" x14ac:dyDescent="0.2">
      <c r="B50" s="1"/>
      <c r="C50" s="110" t="s">
        <v>102</v>
      </c>
      <c r="D50" s="110"/>
      <c r="E50" s="110"/>
      <c r="F50" s="110"/>
      <c r="G50" s="110"/>
    </row>
  </sheetData>
  <printOptions horizontalCentered="1"/>
  <pageMargins left="0.5" right="0.5" top="0.5" bottom="0.5" header="0.5" footer="0.5"/>
  <pageSetup scale="68" orientation="landscape" r:id="rId1"/>
  <headerFooter alignWithMargins="0">
    <oddFooter>&amp;RPrepared by : 
Mike Escaname 
HCHHSD 
07/10/12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64"/>
  <sheetViews>
    <sheetView zoomScaleNormal="100" workbookViewId="0">
      <selection activeCell="E38" sqref="E38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</cols>
  <sheetData>
    <row r="3" spans="1:10" x14ac:dyDescent="0.2">
      <c r="A3" s="66" t="s">
        <v>63</v>
      </c>
    </row>
    <row r="4" spans="1:10" x14ac:dyDescent="0.2">
      <c r="A4" s="85" t="s">
        <v>64</v>
      </c>
      <c r="B4" s="85"/>
      <c r="D4" s="84"/>
    </row>
    <row r="5" spans="1:10" x14ac:dyDescent="0.2">
      <c r="B5" s="2" t="s">
        <v>76</v>
      </c>
      <c r="C5" s="2"/>
      <c r="D5" s="2"/>
      <c r="E5" s="2"/>
      <c r="F5" s="2"/>
      <c r="G5" s="1"/>
    </row>
    <row r="6" spans="1:10" x14ac:dyDescent="0.2">
      <c r="B6" s="27"/>
    </row>
    <row r="7" spans="1:10" x14ac:dyDescent="0.2">
      <c r="D7" s="78" t="s">
        <v>0</v>
      </c>
      <c r="E7" s="78" t="s">
        <v>1</v>
      </c>
      <c r="F7" s="78" t="s">
        <v>2</v>
      </c>
      <c r="G7" s="78" t="s">
        <v>3</v>
      </c>
      <c r="H7" s="79" t="s">
        <v>4</v>
      </c>
    </row>
    <row r="8" spans="1:10" x14ac:dyDescent="0.2">
      <c r="D8" s="80" t="s">
        <v>5</v>
      </c>
      <c r="E8" s="80" t="s">
        <v>6</v>
      </c>
      <c r="F8" s="80" t="s">
        <v>7</v>
      </c>
      <c r="G8" s="80" t="s">
        <v>8</v>
      </c>
      <c r="H8" s="81" t="s">
        <v>9</v>
      </c>
    </row>
    <row r="9" spans="1:10" x14ac:dyDescent="0.2">
      <c r="A9" s="17"/>
      <c r="B9" s="17"/>
      <c r="C9" s="3"/>
      <c r="D9" s="82"/>
      <c r="E9" s="82"/>
      <c r="F9" s="82"/>
      <c r="G9" s="86">
        <v>41099</v>
      </c>
      <c r="H9" s="93" t="s">
        <v>10</v>
      </c>
      <c r="I9" s="5"/>
    </row>
    <row r="10" spans="1:10" x14ac:dyDescent="0.2">
      <c r="A10" s="6" t="s">
        <v>11</v>
      </c>
      <c r="B10" s="5"/>
      <c r="C10" s="7">
        <v>113</v>
      </c>
      <c r="D10" s="8">
        <v>12336.46</v>
      </c>
      <c r="E10" s="9">
        <v>5.5</v>
      </c>
      <c r="F10" s="10">
        <f>(D10*E10)</f>
        <v>67850.53</v>
      </c>
      <c r="G10" s="11">
        <v>72322.55</v>
      </c>
      <c r="H10" s="57">
        <f t="shared" ref="H10:H18" si="0">SUM(G10-F10)</f>
        <v>4472.0200000000041</v>
      </c>
      <c r="I10" s="5"/>
    </row>
    <row r="11" spans="1:10" x14ac:dyDescent="0.2">
      <c r="A11" s="69" t="s">
        <v>49</v>
      </c>
      <c r="C11" s="70"/>
      <c r="D11" s="71"/>
      <c r="E11" s="72"/>
      <c r="F11" s="73"/>
      <c r="G11" s="73"/>
      <c r="H11" s="74">
        <f>SUM(H10:H10)</f>
        <v>4472.0200000000041</v>
      </c>
      <c r="I11" s="12"/>
    </row>
    <row r="12" spans="1:10" x14ac:dyDescent="0.2">
      <c r="A12" s="69"/>
      <c r="C12" s="14"/>
      <c r="D12" s="13"/>
      <c r="E12" s="9"/>
      <c r="F12" s="11"/>
      <c r="G12" s="11"/>
      <c r="H12" s="58"/>
      <c r="I12" s="12"/>
    </row>
    <row r="13" spans="1:10" x14ac:dyDescent="0.2">
      <c r="A13" s="6" t="s">
        <v>12</v>
      </c>
      <c r="B13" s="5"/>
      <c r="C13" s="7">
        <v>211</v>
      </c>
      <c r="D13" s="8">
        <v>1305.45</v>
      </c>
      <c r="E13" s="9">
        <v>6</v>
      </c>
      <c r="F13" s="10">
        <f t="shared" ref="F13:F18" si="1">(D13*E13)</f>
        <v>7832.7000000000007</v>
      </c>
      <c r="G13" s="13">
        <v>13124.45</v>
      </c>
      <c r="H13" s="57">
        <f t="shared" si="0"/>
        <v>5291.75</v>
      </c>
      <c r="I13" s="12"/>
      <c r="J13" s="16">
        <f>SUM(F11:F18)</f>
        <v>20416.910000000003</v>
      </c>
    </row>
    <row r="14" spans="1:10" x14ac:dyDescent="0.2">
      <c r="A14" s="6" t="s">
        <v>13</v>
      </c>
      <c r="B14" s="5"/>
      <c r="C14" s="7">
        <v>212</v>
      </c>
      <c r="D14" s="8">
        <v>19.2</v>
      </c>
      <c r="E14" s="14">
        <v>3</v>
      </c>
      <c r="F14" s="10">
        <f t="shared" si="1"/>
        <v>57.599999999999994</v>
      </c>
      <c r="G14" s="13">
        <v>70.11</v>
      </c>
      <c r="H14" s="57">
        <f t="shared" si="0"/>
        <v>12.510000000000005</v>
      </c>
      <c r="I14" s="5"/>
      <c r="J14" s="16">
        <f>SUM(J13:J13)</f>
        <v>20416.910000000003</v>
      </c>
    </row>
    <row r="15" spans="1:10" x14ac:dyDescent="0.2">
      <c r="A15" s="6" t="s">
        <v>14</v>
      </c>
      <c r="B15" s="5"/>
      <c r="C15" s="7">
        <v>220</v>
      </c>
      <c r="D15" s="8">
        <v>925.81</v>
      </c>
      <c r="E15" s="9">
        <v>5.5</v>
      </c>
      <c r="F15" s="10">
        <f t="shared" si="1"/>
        <v>5091.9549999999999</v>
      </c>
      <c r="G15" s="13">
        <v>6695.41</v>
      </c>
      <c r="H15" s="57">
        <f t="shared" si="0"/>
        <v>1603.4549999999999</v>
      </c>
      <c r="I15" s="12"/>
      <c r="J15">
        <f>J13/J14</f>
        <v>1</v>
      </c>
    </row>
    <row r="16" spans="1:10" x14ac:dyDescent="0.2">
      <c r="A16" s="6" t="s">
        <v>15</v>
      </c>
      <c r="B16" s="5"/>
      <c r="C16" s="7">
        <v>230</v>
      </c>
      <c r="D16" s="15">
        <v>1227.44</v>
      </c>
      <c r="E16" s="9">
        <v>5.5</v>
      </c>
      <c r="F16" s="10">
        <f t="shared" si="1"/>
        <v>6750.92</v>
      </c>
      <c r="G16" s="13">
        <v>7455.61</v>
      </c>
      <c r="H16" s="57">
        <f t="shared" si="0"/>
        <v>704.6899999999996</v>
      </c>
      <c r="I16" s="12"/>
    </row>
    <row r="17" spans="1:12" x14ac:dyDescent="0.2">
      <c r="A17" s="6" t="s">
        <v>16</v>
      </c>
      <c r="B17" s="5"/>
      <c r="C17" s="7">
        <v>250</v>
      </c>
      <c r="D17" s="15">
        <v>61.67</v>
      </c>
      <c r="E17" s="9">
        <v>5.5</v>
      </c>
      <c r="F17" s="10">
        <f>(D17*E17)+344.55</f>
        <v>683.73500000000001</v>
      </c>
      <c r="G17" s="13">
        <v>2046.21</v>
      </c>
      <c r="H17" s="57">
        <f t="shared" si="0"/>
        <v>1362.4749999999999</v>
      </c>
      <c r="I17" s="5"/>
      <c r="J17" s="16"/>
    </row>
    <row r="18" spans="1:12" x14ac:dyDescent="0.2">
      <c r="A18" s="6" t="s">
        <v>17</v>
      </c>
      <c r="B18" s="41"/>
      <c r="C18" s="3">
        <v>260</v>
      </c>
      <c r="D18" s="19">
        <v>0</v>
      </c>
      <c r="E18" s="9">
        <v>0</v>
      </c>
      <c r="F18" s="10">
        <f t="shared" si="1"/>
        <v>0</v>
      </c>
      <c r="G18" s="13">
        <v>0</v>
      </c>
      <c r="H18" s="59">
        <f t="shared" si="0"/>
        <v>0</v>
      </c>
      <c r="I18" s="12"/>
      <c r="J18" s="16"/>
    </row>
    <row r="19" spans="1:12" x14ac:dyDescent="0.2">
      <c r="A19" s="69" t="s">
        <v>50</v>
      </c>
      <c r="B19" s="5"/>
      <c r="C19" s="75"/>
      <c r="D19" s="99" t="s">
        <v>65</v>
      </c>
      <c r="E19" s="77"/>
      <c r="F19" s="73"/>
      <c r="G19" s="76"/>
      <c r="H19" s="74">
        <f>SUM(H13:H18)</f>
        <v>8974.8799999999992</v>
      </c>
      <c r="I19" s="12"/>
      <c r="J19" s="16"/>
    </row>
    <row r="20" spans="1:12" x14ac:dyDescent="0.2">
      <c r="A20" s="6"/>
      <c r="B20" s="5"/>
      <c r="C20" s="20"/>
      <c r="D20" s="20"/>
      <c r="E20" s="20"/>
      <c r="F20" s="20"/>
      <c r="G20" s="20"/>
      <c r="H20" s="60"/>
      <c r="I20" s="5"/>
    </row>
    <row r="21" spans="1:12" x14ac:dyDescent="0.2">
      <c r="A21" s="4"/>
      <c r="B21" s="17"/>
      <c r="C21" s="18"/>
      <c r="D21" s="21">
        <f>SUM(D10:D18)</f>
        <v>15876.03</v>
      </c>
      <c r="E21" s="4"/>
      <c r="F21" s="22">
        <f>SUM(F10:F18)</f>
        <v>88267.44</v>
      </c>
      <c r="G21" s="21">
        <f>SUM(G10:G18)</f>
        <v>101714.34000000001</v>
      </c>
      <c r="H21" s="61">
        <f>SUM(H11+H19)</f>
        <v>13446.900000000003</v>
      </c>
      <c r="I21" s="23"/>
    </row>
    <row r="22" spans="1:12" ht="13.5" thickBot="1" x14ac:dyDescent="0.25">
      <c r="H22" s="83"/>
      <c r="I22" s="5"/>
      <c r="J22" s="24"/>
    </row>
    <row r="23" spans="1:12" ht="13.5" thickTop="1" x14ac:dyDescent="0.2">
      <c r="E23" t="s">
        <v>83</v>
      </c>
      <c r="I23" s="5"/>
    </row>
    <row r="24" spans="1:12" x14ac:dyDescent="0.2">
      <c r="A24" t="s">
        <v>18</v>
      </c>
      <c r="E24" s="56">
        <v>1</v>
      </c>
      <c r="F24" t="s">
        <v>70</v>
      </c>
      <c r="G24" s="25">
        <v>41089</v>
      </c>
      <c r="J24" s="25"/>
      <c r="L24" s="25"/>
    </row>
    <row r="25" spans="1:12" x14ac:dyDescent="0.2">
      <c r="A25" t="s">
        <v>19</v>
      </c>
      <c r="E25" s="56">
        <f t="shared" ref="E25:E30" si="2">E24+1</f>
        <v>2</v>
      </c>
      <c r="F25" t="s">
        <v>71</v>
      </c>
      <c r="G25" s="25">
        <v>41103</v>
      </c>
      <c r="J25" s="25"/>
      <c r="L25" s="25"/>
    </row>
    <row r="26" spans="1:12" x14ac:dyDescent="0.2">
      <c r="E26" s="56">
        <f t="shared" si="2"/>
        <v>3</v>
      </c>
      <c r="F26" t="s">
        <v>72</v>
      </c>
      <c r="G26" s="25">
        <v>41117</v>
      </c>
    </row>
    <row r="27" spans="1:12" x14ac:dyDescent="0.2">
      <c r="A27" s="94"/>
      <c r="B27" s="94"/>
      <c r="C27" s="94"/>
      <c r="D27" s="94"/>
      <c r="E27" s="56">
        <f t="shared" si="2"/>
        <v>4</v>
      </c>
      <c r="F27" t="s">
        <v>73</v>
      </c>
      <c r="G27" s="25">
        <v>41131</v>
      </c>
    </row>
    <row r="28" spans="1:12" x14ac:dyDescent="0.2">
      <c r="A28" s="94"/>
      <c r="B28" s="94"/>
      <c r="C28" s="94"/>
      <c r="D28" s="94"/>
      <c r="E28" s="56">
        <f t="shared" si="2"/>
        <v>5</v>
      </c>
      <c r="F28" t="s">
        <v>74</v>
      </c>
      <c r="G28" s="25">
        <v>41145</v>
      </c>
    </row>
    <row r="29" spans="1:12" x14ac:dyDescent="0.2">
      <c r="A29" s="94"/>
      <c r="B29" s="94"/>
      <c r="C29" s="94"/>
      <c r="D29" s="94"/>
      <c r="E29" s="56">
        <f t="shared" si="2"/>
        <v>6</v>
      </c>
      <c r="F29" t="s">
        <v>44</v>
      </c>
      <c r="G29" s="25">
        <v>41159</v>
      </c>
    </row>
    <row r="30" spans="1:12" x14ac:dyDescent="0.2">
      <c r="E30" s="56">
        <f t="shared" si="2"/>
        <v>7</v>
      </c>
      <c r="F30" t="s">
        <v>45</v>
      </c>
      <c r="G30" s="25">
        <v>41173</v>
      </c>
      <c r="H30" t="s">
        <v>75</v>
      </c>
    </row>
    <row r="31" spans="1:12" x14ac:dyDescent="0.2">
      <c r="E31" s="56"/>
      <c r="G31" s="25"/>
    </row>
    <row r="32" spans="1:12" x14ac:dyDescent="0.2">
      <c r="E32" s="56"/>
      <c r="G32" s="25"/>
    </row>
    <row r="33" spans="1:7" x14ac:dyDescent="0.2">
      <c r="E33" s="56"/>
      <c r="G33" s="25"/>
    </row>
    <row r="34" spans="1:7" x14ac:dyDescent="0.2">
      <c r="E34" s="56"/>
      <c r="G34" s="25"/>
    </row>
    <row r="35" spans="1:7" x14ac:dyDescent="0.2">
      <c r="A35" s="192"/>
      <c r="B35" s="193"/>
      <c r="C35" s="193"/>
      <c r="E35" s="56"/>
      <c r="G35" s="25"/>
    </row>
    <row r="36" spans="1:7" x14ac:dyDescent="0.2">
      <c r="E36" s="26"/>
    </row>
    <row r="37" spans="1:7" ht="24.75" customHeight="1" x14ac:dyDescent="0.2">
      <c r="A37" s="100" t="s">
        <v>77</v>
      </c>
      <c r="B37" s="100"/>
      <c r="C37" s="100"/>
    </row>
    <row r="38" spans="1:7" x14ac:dyDescent="0.2">
      <c r="A38" s="88"/>
      <c r="B38" s="88"/>
      <c r="C38" s="88"/>
      <c r="D38" s="88"/>
      <c r="E38" s="88"/>
      <c r="F38" s="88"/>
      <c r="G38" s="88"/>
    </row>
    <row r="39" spans="1:7" x14ac:dyDescent="0.2">
      <c r="A39" s="88"/>
      <c r="B39" s="88"/>
      <c r="C39" s="88"/>
      <c r="D39" s="88"/>
      <c r="E39" s="88"/>
      <c r="F39" s="88"/>
      <c r="G39" s="88"/>
    </row>
    <row r="40" spans="1:7" x14ac:dyDescent="0.2">
      <c r="A40" s="87"/>
      <c r="B40" s="88"/>
      <c r="C40" s="89"/>
      <c r="D40" s="88"/>
      <c r="E40" s="88"/>
      <c r="F40" s="88"/>
      <c r="G40" s="88"/>
    </row>
    <row r="41" spans="1:7" x14ac:dyDescent="0.2">
      <c r="A41" s="87"/>
      <c r="B41" s="88"/>
      <c r="C41" s="89"/>
      <c r="D41" s="88"/>
      <c r="E41" s="88"/>
      <c r="F41" s="88"/>
      <c r="G41" s="88"/>
    </row>
    <row r="42" spans="1:7" x14ac:dyDescent="0.2">
      <c r="A42" s="87"/>
      <c r="B42" s="88"/>
      <c r="C42" s="89"/>
      <c r="D42" s="88"/>
      <c r="E42" s="88"/>
      <c r="F42" s="88"/>
      <c r="G42" s="88"/>
    </row>
    <row r="43" spans="1:7" x14ac:dyDescent="0.2">
      <c r="A43" s="87"/>
      <c r="B43" s="88"/>
      <c r="C43" s="89"/>
      <c r="D43" s="88"/>
      <c r="E43" s="88"/>
      <c r="F43" s="88"/>
      <c r="G43" s="88"/>
    </row>
    <row r="44" spans="1:7" x14ac:dyDescent="0.2">
      <c r="A44" s="87"/>
      <c r="B44" s="88"/>
      <c r="C44" s="89"/>
      <c r="D44" s="88"/>
      <c r="E44" s="88"/>
      <c r="F44" s="88"/>
      <c r="G44" s="88"/>
    </row>
    <row r="45" spans="1:7" x14ac:dyDescent="0.2">
      <c r="A45" s="87"/>
      <c r="B45" s="88"/>
      <c r="C45" s="89"/>
      <c r="D45" s="88"/>
      <c r="E45" s="88"/>
      <c r="F45" s="88"/>
      <c r="G45" s="88"/>
    </row>
    <row r="46" spans="1:7" x14ac:dyDescent="0.2">
      <c r="A46" s="87"/>
      <c r="B46" s="88"/>
      <c r="C46" s="89"/>
      <c r="D46" s="88"/>
      <c r="E46" s="88"/>
      <c r="F46" s="88"/>
      <c r="G46" s="88"/>
    </row>
    <row r="47" spans="1:7" x14ac:dyDescent="0.2">
      <c r="A47" s="87"/>
      <c r="B47" s="88"/>
      <c r="C47" s="89"/>
      <c r="D47" s="88"/>
      <c r="E47" s="88"/>
      <c r="F47" s="88"/>
      <c r="G47" s="88"/>
    </row>
    <row r="48" spans="1:7" x14ac:dyDescent="0.2">
      <c r="A48" s="87"/>
      <c r="B48" s="88"/>
      <c r="C48" s="89"/>
      <c r="D48" s="88"/>
      <c r="E48" s="88"/>
      <c r="F48" s="88"/>
      <c r="G48" s="88"/>
    </row>
    <row r="49" spans="1:7" x14ac:dyDescent="0.2">
      <c r="A49" s="87"/>
      <c r="B49" s="88"/>
      <c r="C49" s="89"/>
      <c r="D49" s="88"/>
      <c r="E49" s="88"/>
      <c r="F49" s="88"/>
      <c r="G49" s="88"/>
    </row>
    <row r="50" spans="1:7" x14ac:dyDescent="0.2">
      <c r="A50" s="87"/>
      <c r="B50" s="88"/>
      <c r="C50" s="89"/>
      <c r="D50" s="88"/>
      <c r="E50" s="88"/>
      <c r="F50" s="88"/>
      <c r="G50" s="88"/>
    </row>
    <row r="51" spans="1:7" x14ac:dyDescent="0.2">
      <c r="A51" s="87"/>
      <c r="B51" s="88"/>
      <c r="C51" s="89"/>
      <c r="D51" s="88"/>
      <c r="E51" s="88"/>
      <c r="F51" s="88"/>
      <c r="G51" s="88"/>
    </row>
    <row r="52" spans="1:7" x14ac:dyDescent="0.2">
      <c r="A52" s="87"/>
      <c r="B52" s="88"/>
      <c r="C52" s="89"/>
      <c r="D52" s="88"/>
      <c r="E52" s="88"/>
      <c r="F52" s="88"/>
      <c r="G52" s="88"/>
    </row>
    <row r="53" spans="1:7" x14ac:dyDescent="0.2">
      <c r="A53" s="88"/>
      <c r="B53" s="88"/>
      <c r="C53" s="88"/>
      <c r="D53" s="88"/>
      <c r="E53" s="88"/>
      <c r="F53" s="88"/>
      <c r="G53" s="88"/>
    </row>
    <row r="54" spans="1:7" x14ac:dyDescent="0.2">
      <c r="A54" s="88"/>
      <c r="B54" s="88"/>
      <c r="C54" s="88"/>
      <c r="D54" s="88"/>
      <c r="E54" s="88"/>
      <c r="F54" s="88"/>
      <c r="G54" s="88"/>
    </row>
    <row r="55" spans="1:7" x14ac:dyDescent="0.2">
      <c r="A55" s="88"/>
      <c r="B55" s="88"/>
      <c r="C55" s="88"/>
      <c r="D55" s="88"/>
      <c r="E55" s="88"/>
      <c r="F55" s="88"/>
      <c r="G55" s="88"/>
    </row>
    <row r="56" spans="1:7" x14ac:dyDescent="0.2">
      <c r="A56" s="88"/>
      <c r="B56" s="88"/>
      <c r="C56" s="88"/>
      <c r="D56" s="88"/>
      <c r="E56" s="88"/>
      <c r="F56" s="88"/>
      <c r="G56" s="88"/>
    </row>
    <row r="57" spans="1:7" x14ac:dyDescent="0.2">
      <c r="A57" s="88"/>
      <c r="B57" s="88"/>
      <c r="C57" s="88"/>
      <c r="D57" s="55"/>
      <c r="E57" s="88"/>
      <c r="F57" s="88"/>
      <c r="G57" s="88"/>
    </row>
    <row r="58" spans="1:7" x14ac:dyDescent="0.2">
      <c r="A58" s="88"/>
      <c r="B58" s="88"/>
      <c r="C58" s="88"/>
      <c r="D58" s="55"/>
      <c r="E58" s="88"/>
      <c r="F58" s="88"/>
      <c r="G58" s="88"/>
    </row>
    <row r="59" spans="1:7" x14ac:dyDescent="0.2">
      <c r="A59" s="88"/>
      <c r="B59" s="88"/>
      <c r="C59" s="88"/>
      <c r="D59" s="88"/>
      <c r="E59" s="88"/>
      <c r="F59" s="88"/>
      <c r="G59" s="88"/>
    </row>
    <row r="60" spans="1:7" x14ac:dyDescent="0.2">
      <c r="A60" s="88"/>
      <c r="B60" s="88"/>
      <c r="C60" s="88"/>
      <c r="D60" s="51"/>
      <c r="E60" s="88"/>
      <c r="F60" s="88"/>
      <c r="G60" s="88"/>
    </row>
    <row r="61" spans="1:7" x14ac:dyDescent="0.2">
      <c r="A61" s="88"/>
      <c r="B61" s="88"/>
      <c r="C61" s="88"/>
      <c r="D61" s="51"/>
      <c r="E61" s="88"/>
      <c r="F61" s="88"/>
      <c r="G61" s="88"/>
    </row>
    <row r="62" spans="1:7" x14ac:dyDescent="0.2">
      <c r="A62" s="88"/>
      <c r="B62" s="88"/>
      <c r="C62" s="88"/>
      <c r="D62" s="51"/>
      <c r="E62" s="88"/>
      <c r="F62" s="88"/>
      <c r="G62" s="88"/>
    </row>
    <row r="63" spans="1:7" x14ac:dyDescent="0.2">
      <c r="A63" s="88"/>
      <c r="B63" s="88"/>
      <c r="C63" s="88"/>
      <c r="D63" s="90"/>
      <c r="E63" s="88"/>
      <c r="F63" s="88"/>
      <c r="G63" s="88"/>
    </row>
    <row r="64" spans="1:7" x14ac:dyDescent="0.2">
      <c r="A64" s="88"/>
      <c r="B64" s="88"/>
      <c r="C64" s="88"/>
      <c r="D64" s="88"/>
      <c r="E64" s="88"/>
      <c r="F64" s="88"/>
      <c r="G64" s="88"/>
    </row>
  </sheetData>
  <mergeCells count="1">
    <mergeCell ref="A35:C35"/>
  </mergeCells>
  <pageMargins left="0.25" right="0.25" top="0.75" bottom="0.75" header="0.3" footer="0.3"/>
  <pageSetup orientation="landscape" r:id="rId1"/>
  <headerFooter alignWithMargins="0">
    <oddFooter xml:space="preserve">&amp;L&amp;F&amp;R&amp;8Prepared by Mike Escaname 
Health &amp; Human Services Dept. 
04/17/2012&amp;9 
&amp;10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217" r:id="rId4">
          <objectPr defaultSize="0" autoPict="0" r:id="rId5">
            <anchor moveWithCells="1">
              <from>
                <xdr:col>3</xdr:col>
                <xdr:colOff>0</xdr:colOff>
                <xdr:row>36</xdr:row>
                <xdr:rowOff>0</xdr:rowOff>
              </from>
              <to>
                <xdr:col>4</xdr:col>
                <xdr:colOff>0</xdr:colOff>
                <xdr:row>37</xdr:row>
                <xdr:rowOff>66675</xdr:rowOff>
              </to>
            </anchor>
          </objectPr>
        </oleObject>
      </mc:Choice>
      <mc:Fallback>
        <oleObject progId="Acrobat Document" dvAspect="DVASPECT_ICON" shapeId="92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Normal="100" workbookViewId="0">
      <pane xSplit="2" ySplit="4" topLeftCell="G5" activePane="bottomRight" state="frozen"/>
      <selection pane="topRight" activeCell="C1" sqref="C1"/>
      <selection pane="bottomLeft" activeCell="A5" sqref="A5"/>
      <selection pane="bottomRight" activeCell="I25" sqref="I25"/>
    </sheetView>
  </sheetViews>
  <sheetFormatPr defaultRowHeight="12.75" x14ac:dyDescent="0.2"/>
  <cols>
    <col min="1" max="1" width="4.5703125" customWidth="1"/>
    <col min="2" max="2" width="19.140625" customWidth="1"/>
    <col min="3" max="10" width="12.7109375" customWidth="1"/>
    <col min="11" max="11" width="12.7109375" hidden="1" customWidth="1"/>
    <col min="12" max="13" width="12.85546875" customWidth="1"/>
    <col min="14" max="18" width="12.7109375" customWidth="1"/>
    <col min="19" max="19" width="1.85546875" style="172" customWidth="1"/>
  </cols>
  <sheetData>
    <row r="1" spans="1:19" x14ac:dyDescent="0.2">
      <c r="A1" s="66" t="s">
        <v>130</v>
      </c>
      <c r="B1" s="66"/>
    </row>
    <row r="2" spans="1:19" x14ac:dyDescent="0.2">
      <c r="A2" s="66" t="s">
        <v>105</v>
      </c>
      <c r="B2" s="66"/>
    </row>
    <row r="3" spans="1:19" x14ac:dyDescent="0.2">
      <c r="M3" s="25">
        <v>41768</v>
      </c>
      <c r="N3" s="25">
        <v>41768</v>
      </c>
      <c r="O3" s="25"/>
      <c r="R3" s="25"/>
    </row>
    <row r="4" spans="1:19" ht="55.5" customHeight="1" x14ac:dyDescent="0.2">
      <c r="A4" s="62" t="s">
        <v>20</v>
      </c>
      <c r="B4" s="63" t="s">
        <v>21</v>
      </c>
      <c r="C4" s="64" t="s">
        <v>121</v>
      </c>
      <c r="D4" s="64" t="s">
        <v>122</v>
      </c>
      <c r="E4" s="155" t="s">
        <v>125</v>
      </c>
      <c r="F4" s="63" t="s">
        <v>131</v>
      </c>
      <c r="G4" s="63" t="s">
        <v>132</v>
      </c>
      <c r="H4" s="155" t="s">
        <v>58</v>
      </c>
      <c r="I4" s="63" t="s">
        <v>104</v>
      </c>
      <c r="J4" s="155" t="s">
        <v>60</v>
      </c>
      <c r="K4" s="64" t="s">
        <v>46</v>
      </c>
      <c r="L4" s="63" t="s">
        <v>134</v>
      </c>
      <c r="M4" s="155" t="s">
        <v>126</v>
      </c>
      <c r="N4" s="63" t="s">
        <v>127</v>
      </c>
      <c r="O4" s="64" t="s">
        <v>129</v>
      </c>
      <c r="P4" s="64" t="s">
        <v>137</v>
      </c>
      <c r="Q4" s="65" t="s">
        <v>24</v>
      </c>
      <c r="R4" s="101" t="s">
        <v>128</v>
      </c>
      <c r="S4" s="173"/>
    </row>
    <row r="5" spans="1:19" x14ac:dyDescent="0.2">
      <c r="A5" s="30">
        <v>113</v>
      </c>
      <c r="B5" t="s">
        <v>22</v>
      </c>
      <c r="C5" s="34">
        <v>209418</v>
      </c>
      <c r="D5" s="31">
        <v>69383</v>
      </c>
      <c r="E5" s="156">
        <f>SUM(C5:D5)</f>
        <v>278801</v>
      </c>
      <c r="F5" s="31">
        <v>84054</v>
      </c>
      <c r="G5" s="31">
        <v>12245</v>
      </c>
      <c r="H5" s="163">
        <f>SUM(E5:G5)</f>
        <v>375100</v>
      </c>
      <c r="I5" s="184"/>
      <c r="J5" s="167">
        <f>SUM(H5:I5)</f>
        <v>375100</v>
      </c>
      <c r="K5" s="31"/>
      <c r="L5" s="31">
        <f>113703.45+103660.59</f>
        <v>217364.03999999998</v>
      </c>
      <c r="M5" s="156">
        <f>85234.05+85174.7</f>
        <v>170408.75</v>
      </c>
      <c r="N5" s="42">
        <f>28469.4+18485.89</f>
        <v>46955.29</v>
      </c>
      <c r="O5" s="34">
        <f>SUM(M5:N5)</f>
        <v>217364.04</v>
      </c>
      <c r="P5" s="34">
        <f>SUM('TB ELIMINATION FY 14 SAL PROJ '!G11)</f>
        <v>105131.38461538462</v>
      </c>
      <c r="Q5" s="42">
        <f>SUM(N5:P5)</f>
        <v>369450.71461538464</v>
      </c>
      <c r="R5" s="177">
        <f>SUM(C5+F5-M5-P5)</f>
        <v>17931.865384615376</v>
      </c>
    </row>
    <row r="6" spans="1:19" x14ac:dyDescent="0.2">
      <c r="A6" s="30"/>
      <c r="B6" s="1" t="s">
        <v>36</v>
      </c>
      <c r="C6" s="35">
        <f t="shared" ref="C6:K6" si="0">SUM(C5)</f>
        <v>209418</v>
      </c>
      <c r="D6" s="35">
        <f t="shared" si="0"/>
        <v>69383</v>
      </c>
      <c r="E6" s="157">
        <f t="shared" si="0"/>
        <v>278801</v>
      </c>
      <c r="F6" s="32">
        <f t="shared" si="0"/>
        <v>84054</v>
      </c>
      <c r="G6" s="32">
        <f t="shared" si="0"/>
        <v>12245</v>
      </c>
      <c r="H6" s="158">
        <f t="shared" si="0"/>
        <v>375100</v>
      </c>
      <c r="I6" s="32">
        <f t="shared" si="0"/>
        <v>0</v>
      </c>
      <c r="J6" s="157">
        <f t="shared" si="0"/>
        <v>375100</v>
      </c>
      <c r="K6" s="35">
        <f t="shared" si="0"/>
        <v>0</v>
      </c>
      <c r="L6" s="35">
        <f t="shared" ref="L6:R6" si="1">SUM(L5)</f>
        <v>217364.03999999998</v>
      </c>
      <c r="M6" s="157">
        <f t="shared" si="1"/>
        <v>170408.75</v>
      </c>
      <c r="N6" s="32">
        <f t="shared" si="1"/>
        <v>46955.29</v>
      </c>
      <c r="O6" s="35">
        <f t="shared" si="1"/>
        <v>217364.04</v>
      </c>
      <c r="P6" s="35">
        <f t="shared" si="1"/>
        <v>105131.38461538462</v>
      </c>
      <c r="Q6" s="32">
        <f t="shared" si="1"/>
        <v>369450.71461538464</v>
      </c>
      <c r="R6" s="105">
        <f t="shared" si="1"/>
        <v>17931.865384615376</v>
      </c>
    </row>
    <row r="7" spans="1:19" x14ac:dyDescent="0.2">
      <c r="A7" s="30"/>
      <c r="C7" s="67"/>
      <c r="D7" s="67"/>
      <c r="E7" s="158"/>
      <c r="F7" s="67"/>
      <c r="G7" s="67"/>
      <c r="H7" s="161"/>
      <c r="I7" s="36"/>
      <c r="J7" s="168"/>
      <c r="K7" s="36"/>
      <c r="L7" s="28"/>
      <c r="M7" s="157"/>
      <c r="N7" s="28"/>
      <c r="O7" s="36"/>
      <c r="P7" s="36"/>
      <c r="Q7" s="44"/>
      <c r="R7" s="36"/>
    </row>
    <row r="8" spans="1:19" x14ac:dyDescent="0.2">
      <c r="A8" s="30">
        <v>211</v>
      </c>
      <c r="B8" t="s">
        <v>25</v>
      </c>
      <c r="C8" s="67">
        <v>25454</v>
      </c>
      <c r="D8" s="67">
        <v>7858</v>
      </c>
      <c r="E8" s="157">
        <f>SUM(C8:D8)</f>
        <v>33312</v>
      </c>
      <c r="F8" s="44">
        <v>10056</v>
      </c>
      <c r="G8" s="44">
        <v>2247</v>
      </c>
      <c r="H8" s="163">
        <f>SUM(E8:G8)</f>
        <v>45615</v>
      </c>
      <c r="I8" s="185"/>
      <c r="J8" s="157">
        <f>SUM(H8:I8)</f>
        <v>45615</v>
      </c>
      <c r="K8" s="36"/>
      <c r="L8" s="28">
        <f>12279.68+20912.01</f>
        <v>33191.69</v>
      </c>
      <c r="M8" s="157">
        <f>9692.6+17153.44</f>
        <v>26846.04</v>
      </c>
      <c r="N8" s="28">
        <f>2587.08+3758.57</f>
        <v>6345.65</v>
      </c>
      <c r="O8" s="188">
        <f>SUM(M8:N8)</f>
        <v>33191.69</v>
      </c>
      <c r="P8" s="40">
        <f>SUM('TB ELIMINATION FY 14 SAL PROJ '!G14)</f>
        <v>18820.355</v>
      </c>
      <c r="Q8" s="44">
        <f t="shared" ref="Q8:Q13" si="2">SUM(N8:P8)</f>
        <v>58357.695000000007</v>
      </c>
      <c r="R8" s="189">
        <f>SUM(C8+F8-M8-P8)</f>
        <v>-10156.395</v>
      </c>
    </row>
    <row r="9" spans="1:19" x14ac:dyDescent="0.2">
      <c r="A9" s="30">
        <v>212</v>
      </c>
      <c r="B9" t="s">
        <v>26</v>
      </c>
      <c r="C9" s="67">
        <v>165</v>
      </c>
      <c r="D9" s="67">
        <v>51</v>
      </c>
      <c r="E9" s="157">
        <f t="shared" ref="E9:E13" si="3">SUM(C9:D9)</f>
        <v>216</v>
      </c>
      <c r="F9" s="67">
        <v>65</v>
      </c>
      <c r="G9" s="67">
        <v>38</v>
      </c>
      <c r="H9" s="163">
        <f t="shared" ref="H9:H13" si="4">SUM(E9:G9)</f>
        <v>319</v>
      </c>
      <c r="I9" s="36"/>
      <c r="J9" s="157">
        <f t="shared" ref="J9:J13" si="5">SUM(H9:I9)</f>
        <v>319</v>
      </c>
      <c r="K9" s="36"/>
      <c r="L9" s="28">
        <f>75.3+136.53</f>
        <v>211.82999999999998</v>
      </c>
      <c r="M9" s="157">
        <f>57.92+105.81</f>
        <v>163.73000000000002</v>
      </c>
      <c r="N9" s="28">
        <f>17.38+30.72</f>
        <v>48.099999999999994</v>
      </c>
      <c r="O9" s="36">
        <f t="shared" ref="O9:O13" si="6">SUM(M9:N9)</f>
        <v>211.83</v>
      </c>
      <c r="P9" s="40">
        <f>SUM('TB ELIMINATION FY 14 SAL PROJ '!G15)</f>
        <v>132.25</v>
      </c>
      <c r="Q9" s="44">
        <f t="shared" si="2"/>
        <v>392.18</v>
      </c>
      <c r="R9" s="174">
        <f t="shared" ref="R9:R13" si="7">SUM(C9+F9-M9-P9)</f>
        <v>-65.980000000000018</v>
      </c>
    </row>
    <row r="10" spans="1:19" x14ac:dyDescent="0.2">
      <c r="A10" s="30">
        <v>220</v>
      </c>
      <c r="B10" t="s">
        <v>27</v>
      </c>
      <c r="C10" s="67">
        <v>16036</v>
      </c>
      <c r="D10" s="67">
        <v>5308</v>
      </c>
      <c r="E10" s="157">
        <f t="shared" si="3"/>
        <v>21344</v>
      </c>
      <c r="F10" s="67">
        <v>6415</v>
      </c>
      <c r="G10" s="67">
        <v>839</v>
      </c>
      <c r="H10" s="163">
        <f t="shared" si="4"/>
        <v>28598</v>
      </c>
      <c r="I10" s="36"/>
      <c r="J10" s="157">
        <f t="shared" si="5"/>
        <v>28598</v>
      </c>
      <c r="K10" s="36"/>
      <c r="L10" s="28">
        <f>8414.7+7789.19</f>
        <v>16203.89</v>
      </c>
      <c r="M10" s="157">
        <f>6312.54+6371.18</f>
        <v>12683.720000000001</v>
      </c>
      <c r="N10" s="28">
        <f>2102.16+1418.01</f>
        <v>3520.17</v>
      </c>
      <c r="O10" s="36">
        <f t="shared" si="6"/>
        <v>16203.890000000001</v>
      </c>
      <c r="P10" s="40">
        <f>SUM('TB ELIMINATION FY 14 SAL PROJ '!G16)</f>
        <v>8042.550923076923</v>
      </c>
      <c r="Q10" s="44">
        <f t="shared" si="2"/>
        <v>27766.610923076925</v>
      </c>
      <c r="R10" s="180">
        <f t="shared" si="7"/>
        <v>1724.7290769230758</v>
      </c>
    </row>
    <row r="11" spans="1:19" x14ac:dyDescent="0.2">
      <c r="A11" s="30">
        <v>230</v>
      </c>
      <c r="B11" t="s">
        <v>28</v>
      </c>
      <c r="C11" s="67">
        <v>21633</v>
      </c>
      <c r="D11" s="67">
        <v>7160</v>
      </c>
      <c r="E11" s="157">
        <f t="shared" si="3"/>
        <v>28793</v>
      </c>
      <c r="F11" s="67">
        <v>8654</v>
      </c>
      <c r="G11" s="67">
        <v>1133</v>
      </c>
      <c r="H11" s="163">
        <f t="shared" si="4"/>
        <v>38580</v>
      </c>
      <c r="I11" s="185"/>
      <c r="J11" s="157">
        <f t="shared" si="5"/>
        <v>38580</v>
      </c>
      <c r="K11" s="36"/>
      <c r="L11" s="28">
        <f>12032.12+11343.98</f>
        <v>23376.1</v>
      </c>
      <c r="M11" s="157">
        <f>9000.16+9275.53</f>
        <v>18275.690000000002</v>
      </c>
      <c r="N11" s="28">
        <f>3031.96+2068.45</f>
        <v>5100.41</v>
      </c>
      <c r="O11" s="36">
        <f t="shared" si="6"/>
        <v>23376.100000000002</v>
      </c>
      <c r="P11" s="40">
        <f>SUM('TB ELIMINATION FY 14 SAL PROJ '!G17)</f>
        <v>11448.807784615385</v>
      </c>
      <c r="Q11" s="44">
        <f t="shared" si="2"/>
        <v>39925.317784615385</v>
      </c>
      <c r="R11" s="180">
        <f t="shared" si="7"/>
        <v>562.50221538461301</v>
      </c>
    </row>
    <row r="12" spans="1:19" x14ac:dyDescent="0.2">
      <c r="A12" s="30">
        <v>250</v>
      </c>
      <c r="B12" t="s">
        <v>29</v>
      </c>
      <c r="C12" s="67">
        <v>2111</v>
      </c>
      <c r="D12" s="67">
        <v>694</v>
      </c>
      <c r="E12" s="157">
        <f t="shared" si="3"/>
        <v>2805</v>
      </c>
      <c r="F12" s="67">
        <v>824</v>
      </c>
      <c r="G12" s="67">
        <v>110</v>
      </c>
      <c r="H12" s="163">
        <f t="shared" si="4"/>
        <v>3739</v>
      </c>
      <c r="I12" s="36"/>
      <c r="J12" s="157">
        <f t="shared" si="5"/>
        <v>3739</v>
      </c>
      <c r="K12" s="36"/>
      <c r="L12" s="28">
        <f>609.61+589.49</f>
        <v>1199.0999999999999</v>
      </c>
      <c r="M12" s="157">
        <f>471.45+485.51</f>
        <v>956.96</v>
      </c>
      <c r="N12" s="67">
        <f>138.16+103.98</f>
        <v>242.14</v>
      </c>
      <c r="O12" s="36">
        <f t="shared" si="6"/>
        <v>1199.0999999999999</v>
      </c>
      <c r="P12" s="40">
        <f>SUM('TB ELIMINATION FY 14 SAL PROJ '!G18)</f>
        <v>599.24889230769224</v>
      </c>
      <c r="Q12" s="44">
        <f t="shared" si="2"/>
        <v>2040.4888923076919</v>
      </c>
      <c r="R12" s="180">
        <f t="shared" si="7"/>
        <v>1378.7911076923078</v>
      </c>
    </row>
    <row r="13" spans="1:19" x14ac:dyDescent="0.2">
      <c r="A13" s="30">
        <v>260</v>
      </c>
      <c r="B13" t="s">
        <v>30</v>
      </c>
      <c r="C13" s="33">
        <v>2096</v>
      </c>
      <c r="D13" s="33">
        <v>1292</v>
      </c>
      <c r="E13" s="159">
        <f t="shared" si="3"/>
        <v>3388</v>
      </c>
      <c r="F13" s="33">
        <v>842</v>
      </c>
      <c r="G13" s="33">
        <v>-487</v>
      </c>
      <c r="H13" s="163">
        <f t="shared" si="4"/>
        <v>3743</v>
      </c>
      <c r="I13" s="186"/>
      <c r="J13" s="159">
        <f t="shared" si="5"/>
        <v>3743</v>
      </c>
      <c r="K13" s="37"/>
      <c r="L13" s="29">
        <f>316.17+683.8</f>
        <v>999.97</v>
      </c>
      <c r="M13" s="159">
        <f>224.94+553.82</f>
        <v>778.76</v>
      </c>
      <c r="N13" s="33">
        <f>91.23+129.98</f>
        <v>221.20999999999998</v>
      </c>
      <c r="O13" s="37">
        <f t="shared" si="6"/>
        <v>999.97</v>
      </c>
      <c r="P13" s="43">
        <f>SUM('TB ELIMINATION FY 14 SAL PROJ '!G19)</f>
        <v>788.48538461538465</v>
      </c>
      <c r="Q13" s="33">
        <f t="shared" si="2"/>
        <v>2009.6653846153847</v>
      </c>
      <c r="R13" s="180">
        <f t="shared" si="7"/>
        <v>1370.7546153846151</v>
      </c>
    </row>
    <row r="14" spans="1:19" x14ac:dyDescent="0.2">
      <c r="A14" s="30"/>
      <c r="B14" s="1" t="s">
        <v>37</v>
      </c>
      <c r="C14" s="35">
        <f t="shared" ref="C14:K14" si="8">SUM(C8:C13)</f>
        <v>67495</v>
      </c>
      <c r="D14" s="35">
        <f t="shared" si="8"/>
        <v>22363</v>
      </c>
      <c r="E14" s="157">
        <f t="shared" si="8"/>
        <v>89858</v>
      </c>
      <c r="F14" s="35">
        <f t="shared" si="8"/>
        <v>26856</v>
      </c>
      <c r="G14" s="35">
        <f t="shared" si="8"/>
        <v>3880</v>
      </c>
      <c r="H14" s="157">
        <f t="shared" si="8"/>
        <v>120594</v>
      </c>
      <c r="I14" s="35">
        <f t="shared" si="8"/>
        <v>0</v>
      </c>
      <c r="J14" s="157">
        <f t="shared" si="8"/>
        <v>120594</v>
      </c>
      <c r="K14" s="35">
        <f t="shared" si="8"/>
        <v>0</v>
      </c>
      <c r="L14" s="35">
        <f t="shared" ref="L14:R14" si="9">SUM(L8:L13)</f>
        <v>75182.580000000016</v>
      </c>
      <c r="M14" s="157">
        <f t="shared" si="9"/>
        <v>59704.900000000009</v>
      </c>
      <c r="N14" s="32">
        <f t="shared" si="9"/>
        <v>15477.679999999998</v>
      </c>
      <c r="O14" s="32">
        <f t="shared" si="9"/>
        <v>75182.580000000016</v>
      </c>
      <c r="P14" s="35">
        <f t="shared" si="9"/>
        <v>39831.697984615384</v>
      </c>
      <c r="Q14" s="35">
        <f t="shared" si="9"/>
        <v>130491.95798461539</v>
      </c>
      <c r="R14" s="190">
        <f t="shared" si="9"/>
        <v>-5185.5979846153887</v>
      </c>
    </row>
    <row r="15" spans="1:19" x14ac:dyDescent="0.2">
      <c r="A15" s="30"/>
      <c r="C15" s="36"/>
      <c r="D15" s="36"/>
      <c r="E15" s="157"/>
      <c r="F15" s="36"/>
      <c r="G15" s="36"/>
      <c r="H15" s="161"/>
      <c r="I15" s="36"/>
      <c r="J15" s="157"/>
      <c r="K15" s="36"/>
      <c r="L15" s="28"/>
      <c r="M15" s="157"/>
      <c r="N15" s="28"/>
      <c r="O15" s="36"/>
      <c r="P15" s="36"/>
      <c r="Q15" s="40"/>
      <c r="R15" s="40"/>
    </row>
    <row r="16" spans="1:19" x14ac:dyDescent="0.2">
      <c r="A16" s="30">
        <v>581</v>
      </c>
      <c r="B16" t="s">
        <v>31</v>
      </c>
      <c r="C16" s="36"/>
      <c r="D16" s="36"/>
      <c r="E16" s="157">
        <f>SUM(C16:D16)</f>
        <v>0</v>
      </c>
      <c r="F16" s="36">
        <v>11300</v>
      </c>
      <c r="G16" s="36"/>
      <c r="H16" s="163">
        <f>SUM(E16:G16)</f>
        <v>11300</v>
      </c>
      <c r="I16" s="36">
        <v>-700</v>
      </c>
      <c r="J16" s="169">
        <f>SUM(H16:I16)</f>
        <v>10600</v>
      </c>
      <c r="K16" s="52">
        <v>0</v>
      </c>
      <c r="L16" s="28">
        <v>14584.65</v>
      </c>
      <c r="M16" s="157"/>
      <c r="N16" s="28"/>
      <c r="O16" s="36"/>
      <c r="P16" s="67">
        <v>0</v>
      </c>
      <c r="Q16" s="36">
        <f>SUM(N16:P16)</f>
        <v>0</v>
      </c>
      <c r="R16" s="174">
        <f>J16-L16</f>
        <v>-3984.6499999999996</v>
      </c>
    </row>
    <row r="17" spans="1:18" x14ac:dyDescent="0.2">
      <c r="A17" s="30">
        <v>583</v>
      </c>
      <c r="B17" t="s">
        <v>32</v>
      </c>
      <c r="C17" s="37"/>
      <c r="D17" s="37"/>
      <c r="E17" s="159">
        <f>SUM(C17:D17)</f>
        <v>0</v>
      </c>
      <c r="F17" s="37"/>
      <c r="G17" s="37"/>
      <c r="H17" s="164">
        <f t="shared" ref="H17" si="10">SUM(E17:F17)</f>
        <v>0</v>
      </c>
      <c r="I17" s="37">
        <v>700</v>
      </c>
      <c r="J17" s="170">
        <f>SUM(H17:I17)</f>
        <v>700</v>
      </c>
      <c r="K17" s="97"/>
      <c r="L17" s="33">
        <f>581.4+117</f>
        <v>698.4</v>
      </c>
      <c r="M17" s="159"/>
      <c r="N17" s="33"/>
      <c r="O17" s="37"/>
      <c r="P17" s="37">
        <v>0</v>
      </c>
      <c r="Q17" s="43">
        <f>SUM(N17:P17)</f>
        <v>0</v>
      </c>
      <c r="R17" s="107">
        <f>J17-L17</f>
        <v>1.6000000000000227</v>
      </c>
    </row>
    <row r="18" spans="1:18" x14ac:dyDescent="0.2">
      <c r="A18" s="30"/>
      <c r="B18" s="1" t="s">
        <v>38</v>
      </c>
      <c r="C18" s="35">
        <f>SUM(C16:C17)</f>
        <v>0</v>
      </c>
      <c r="D18" s="35"/>
      <c r="E18" s="157">
        <f>SUM(E16:E17)</f>
        <v>0</v>
      </c>
      <c r="F18" s="35">
        <f>SUM(F16:F17)</f>
        <v>11300</v>
      </c>
      <c r="G18" s="35"/>
      <c r="H18" s="157">
        <f>SUM(H16:H17)</f>
        <v>11300</v>
      </c>
      <c r="I18" s="35">
        <f>SUM(I16:I17)</f>
        <v>0</v>
      </c>
      <c r="J18" s="157">
        <f>SUM(J16:J17)</f>
        <v>11300</v>
      </c>
      <c r="K18" s="35">
        <f>SUM(K16:K17)</f>
        <v>0</v>
      </c>
      <c r="L18" s="35">
        <f t="shared" ref="L18:R18" si="11">SUM(L16:L17)</f>
        <v>15283.05</v>
      </c>
      <c r="M18" s="157">
        <f t="shared" si="11"/>
        <v>0</v>
      </c>
      <c r="N18" s="32">
        <f t="shared" si="11"/>
        <v>0</v>
      </c>
      <c r="O18" s="35"/>
      <c r="P18" s="35">
        <f t="shared" si="11"/>
        <v>0</v>
      </c>
      <c r="Q18" s="32">
        <f t="shared" si="11"/>
        <v>0</v>
      </c>
      <c r="R18" s="45">
        <f t="shared" si="11"/>
        <v>-3983.0499999999997</v>
      </c>
    </row>
    <row r="19" spans="1:18" x14ac:dyDescent="0.2">
      <c r="A19" s="30"/>
      <c r="B19" s="1"/>
      <c r="C19" s="52"/>
      <c r="D19" s="52"/>
      <c r="E19" s="157"/>
      <c r="F19" s="52"/>
      <c r="G19" s="55"/>
      <c r="H19" s="165"/>
      <c r="I19" s="52"/>
      <c r="J19" s="157"/>
      <c r="K19" s="52"/>
      <c r="L19" s="55"/>
      <c r="M19" s="157"/>
      <c r="N19" s="55"/>
      <c r="O19" s="52"/>
      <c r="P19" s="52"/>
      <c r="Q19" s="55"/>
      <c r="R19" s="52"/>
    </row>
    <row r="20" spans="1:18" x14ac:dyDescent="0.2">
      <c r="A20" s="30">
        <v>748</v>
      </c>
      <c r="B20" s="91"/>
      <c r="C20" s="37"/>
      <c r="D20" s="37"/>
      <c r="E20" s="159"/>
      <c r="F20" s="37"/>
      <c r="G20" s="37"/>
      <c r="H20" s="166"/>
      <c r="I20" s="33"/>
      <c r="J20" s="170">
        <f>SUM(I20)</f>
        <v>0</v>
      </c>
      <c r="K20" s="97"/>
      <c r="L20" s="29"/>
      <c r="M20" s="159"/>
      <c r="N20" s="29"/>
      <c r="O20" s="37"/>
      <c r="P20" s="37"/>
      <c r="Q20" s="33">
        <f>SUM(N20:P20)</f>
        <v>0</v>
      </c>
      <c r="R20" s="96">
        <f>K20-Q20</f>
        <v>0</v>
      </c>
    </row>
    <row r="21" spans="1:18" x14ac:dyDescent="0.2">
      <c r="A21" s="30"/>
      <c r="B21" s="1" t="s">
        <v>52</v>
      </c>
      <c r="C21" s="35"/>
      <c r="D21" s="35"/>
      <c r="E21" s="157"/>
      <c r="F21" s="35"/>
      <c r="G21" s="35"/>
      <c r="H21" s="157"/>
      <c r="I21" s="35"/>
      <c r="J21" s="157">
        <f>SUM(J20)</f>
        <v>0</v>
      </c>
      <c r="K21" s="35">
        <f>SUM(K20:K20)</f>
        <v>0</v>
      </c>
      <c r="L21" s="48"/>
      <c r="M21" s="157"/>
      <c r="N21" s="48"/>
      <c r="O21" s="35"/>
      <c r="P21" s="35"/>
      <c r="Q21" s="49"/>
      <c r="R21" s="35">
        <f>SUM(R20:R20)</f>
        <v>0</v>
      </c>
    </row>
    <row r="22" spans="1:18" x14ac:dyDescent="0.2">
      <c r="A22" s="30"/>
      <c r="C22" s="36"/>
      <c r="D22" s="36"/>
      <c r="E22" s="157"/>
      <c r="F22" s="36"/>
      <c r="G22" s="36"/>
      <c r="H22" s="161"/>
      <c r="I22" s="36"/>
      <c r="J22" s="157"/>
      <c r="K22" s="36"/>
      <c r="L22" s="28"/>
      <c r="M22" s="157"/>
      <c r="N22" s="28"/>
      <c r="O22" s="36"/>
      <c r="P22" s="36"/>
      <c r="Q22" s="44"/>
      <c r="R22" s="36"/>
    </row>
    <row r="23" spans="1:18" x14ac:dyDescent="0.2">
      <c r="A23" s="30">
        <v>601</v>
      </c>
      <c r="B23" t="s">
        <v>33</v>
      </c>
      <c r="C23" s="36"/>
      <c r="D23" s="36"/>
      <c r="E23" s="157">
        <f>SUM(C23:D23)</f>
        <v>0</v>
      </c>
      <c r="F23" s="36">
        <v>6600</v>
      </c>
      <c r="G23" s="36"/>
      <c r="H23" s="163">
        <f>SUM(E23:G23)</f>
        <v>6600</v>
      </c>
      <c r="I23" s="185"/>
      <c r="J23" s="169">
        <f>SUM(H23:I23)</f>
        <v>6600</v>
      </c>
      <c r="K23" s="52"/>
      <c r="L23" s="44">
        <v>5859.49</v>
      </c>
      <c r="M23" s="157"/>
      <c r="N23" s="44"/>
      <c r="O23" s="36"/>
      <c r="P23" s="36"/>
      <c r="Q23" s="44">
        <f t="shared" ref="Q23:Q24" si="12">SUM(N23:P23)</f>
        <v>0</v>
      </c>
      <c r="R23" s="111">
        <f>J23-L23</f>
        <v>740.51000000000022</v>
      </c>
    </row>
    <row r="24" spans="1:18" x14ac:dyDescent="0.2">
      <c r="A24" s="30">
        <v>604</v>
      </c>
      <c r="B24" t="s">
        <v>47</v>
      </c>
      <c r="C24" s="36">
        <v>2567</v>
      </c>
      <c r="D24" s="36"/>
      <c r="E24" s="157">
        <f>SUM(C24:D24)</f>
        <v>2567</v>
      </c>
      <c r="F24" s="36">
        <v>2044</v>
      </c>
      <c r="G24" s="36"/>
      <c r="H24" s="163">
        <f t="shared" ref="H24:H28" si="13">SUM(E24:G24)</f>
        <v>4611</v>
      </c>
      <c r="I24" s="36">
        <f>-400-1100</f>
        <v>-1500</v>
      </c>
      <c r="J24" s="169">
        <f t="shared" ref="J24:J28" si="14">SUM(H24:I24)</f>
        <v>3111</v>
      </c>
      <c r="K24" s="52"/>
      <c r="L24" s="44">
        <v>0</v>
      </c>
      <c r="M24" s="157"/>
      <c r="N24" s="44"/>
      <c r="O24" s="36"/>
      <c r="P24" s="36"/>
      <c r="Q24" s="44">
        <f t="shared" si="12"/>
        <v>0</v>
      </c>
      <c r="R24" s="111">
        <f t="shared" ref="R24:R28" si="15">J24-L24</f>
        <v>3111</v>
      </c>
    </row>
    <row r="25" spans="1:18" x14ac:dyDescent="0.2">
      <c r="A25" s="30">
        <v>607</v>
      </c>
      <c r="B25" t="s">
        <v>124</v>
      </c>
      <c r="C25" s="67"/>
      <c r="D25" s="36"/>
      <c r="E25" s="157"/>
      <c r="F25" s="40"/>
      <c r="G25" s="40"/>
      <c r="H25" s="163">
        <f t="shared" si="13"/>
        <v>0</v>
      </c>
      <c r="I25" s="36"/>
      <c r="J25" s="169">
        <f t="shared" si="14"/>
        <v>0</v>
      </c>
      <c r="K25" s="52"/>
      <c r="L25" s="44">
        <v>0</v>
      </c>
      <c r="M25" s="157"/>
      <c r="N25" s="44"/>
      <c r="O25" s="36"/>
      <c r="P25" s="36"/>
      <c r="Q25" s="44"/>
      <c r="R25" s="111">
        <f t="shared" si="15"/>
        <v>0</v>
      </c>
    </row>
    <row r="26" spans="1:18" x14ac:dyDescent="0.2">
      <c r="A26" s="30">
        <v>664</v>
      </c>
      <c r="C26" s="67"/>
      <c r="D26" s="36"/>
      <c r="E26" s="157"/>
      <c r="F26" s="40"/>
      <c r="G26" s="40"/>
      <c r="H26" s="163">
        <f t="shared" si="13"/>
        <v>0</v>
      </c>
      <c r="I26" s="36">
        <v>1100</v>
      </c>
      <c r="J26" s="169">
        <f t="shared" si="14"/>
        <v>1100</v>
      </c>
      <c r="K26" s="52"/>
      <c r="L26" s="44">
        <v>997.44</v>
      </c>
      <c r="M26" s="157"/>
      <c r="N26" s="44"/>
      <c r="O26" s="36"/>
      <c r="P26" s="36"/>
      <c r="Q26" s="44"/>
      <c r="R26" s="111">
        <f t="shared" si="15"/>
        <v>102.55999999999995</v>
      </c>
    </row>
    <row r="27" spans="1:18" x14ac:dyDescent="0.2">
      <c r="A27" s="30">
        <v>665</v>
      </c>
      <c r="B27" t="s">
        <v>133</v>
      </c>
      <c r="C27" s="67"/>
      <c r="D27" s="36"/>
      <c r="E27" s="157">
        <f>SUM(C27:D27)</f>
        <v>0</v>
      </c>
      <c r="F27" s="40">
        <v>7012</v>
      </c>
      <c r="G27" s="40"/>
      <c r="H27" s="163">
        <f t="shared" si="13"/>
        <v>7012</v>
      </c>
      <c r="I27" s="36"/>
      <c r="J27" s="169">
        <f t="shared" si="14"/>
        <v>7012</v>
      </c>
      <c r="K27" s="52"/>
      <c r="L27" s="44">
        <v>6686.06</v>
      </c>
      <c r="M27" s="157"/>
      <c r="N27" s="44"/>
      <c r="O27" s="36"/>
      <c r="P27" s="36"/>
      <c r="Q27" s="44"/>
      <c r="R27" s="111">
        <f t="shared" si="15"/>
        <v>325.9399999999996</v>
      </c>
    </row>
    <row r="28" spans="1:18" x14ac:dyDescent="0.2">
      <c r="A28" s="30">
        <v>748</v>
      </c>
      <c r="B28" t="s">
        <v>123</v>
      </c>
      <c r="C28" s="37"/>
      <c r="D28" s="37"/>
      <c r="E28" s="159">
        <f>SUM(C28:D28)</f>
        <v>0</v>
      </c>
      <c r="F28" s="37">
        <v>10866</v>
      </c>
      <c r="G28" s="37"/>
      <c r="H28" s="163">
        <f t="shared" si="13"/>
        <v>10866</v>
      </c>
      <c r="I28" s="37">
        <v>400</v>
      </c>
      <c r="J28" s="171">
        <f t="shared" si="14"/>
        <v>11266</v>
      </c>
      <c r="K28" s="97"/>
      <c r="L28" s="29">
        <v>11138.43</v>
      </c>
      <c r="M28" s="159"/>
      <c r="N28" s="29"/>
      <c r="O28" s="37"/>
      <c r="P28" s="37"/>
      <c r="Q28" s="29"/>
      <c r="R28" s="107">
        <f t="shared" si="15"/>
        <v>127.56999999999971</v>
      </c>
    </row>
    <row r="29" spans="1:18" x14ac:dyDescent="0.2">
      <c r="A29" s="30"/>
      <c r="B29" s="1" t="s">
        <v>39</v>
      </c>
      <c r="C29" s="35">
        <f>SUM(C23:C28)</f>
        <v>2567</v>
      </c>
      <c r="D29" s="35">
        <f t="shared" ref="D29:H29" si="16">SUM(D23:D28)</f>
        <v>0</v>
      </c>
      <c r="E29" s="157">
        <f t="shared" si="16"/>
        <v>2567</v>
      </c>
      <c r="F29" s="35">
        <f t="shared" si="16"/>
        <v>26522</v>
      </c>
      <c r="G29" s="35"/>
      <c r="H29" s="157">
        <f t="shared" si="16"/>
        <v>29089</v>
      </c>
      <c r="I29" s="35">
        <f>SUM(I23:I24)</f>
        <v>-1500</v>
      </c>
      <c r="J29" s="157">
        <f>SUM(J23:J28)</f>
        <v>29089</v>
      </c>
      <c r="K29" s="35">
        <f>SUM(K23:K24)</f>
        <v>0</v>
      </c>
      <c r="L29" s="35">
        <f>SUM(L23:L28)</f>
        <v>24681.420000000002</v>
      </c>
      <c r="M29" s="157">
        <f>SUM(M23:M24)</f>
        <v>0</v>
      </c>
      <c r="N29" s="32">
        <f>SUM(N23:N24)</f>
        <v>0</v>
      </c>
      <c r="O29" s="35"/>
      <c r="P29" s="35">
        <f>SUM(P23:P24)</f>
        <v>0</v>
      </c>
      <c r="Q29" s="35">
        <f>SUM(Q23:Q24)</f>
        <v>0</v>
      </c>
      <c r="R29" s="35">
        <f>SUM(R23:R24)</f>
        <v>3851.51</v>
      </c>
    </row>
    <row r="30" spans="1:18" x14ac:dyDescent="0.2">
      <c r="A30" s="30"/>
      <c r="C30" s="52"/>
      <c r="D30" s="52"/>
      <c r="E30" s="157"/>
      <c r="F30" s="52"/>
      <c r="G30" s="52"/>
      <c r="H30" s="161"/>
      <c r="I30" s="52"/>
      <c r="J30" s="157"/>
      <c r="K30" s="52"/>
      <c r="L30" s="55"/>
      <c r="M30" s="157"/>
      <c r="N30" s="55"/>
      <c r="O30" s="52"/>
      <c r="P30" s="52"/>
      <c r="Q30" s="55"/>
      <c r="R30" s="52"/>
    </row>
    <row r="31" spans="1:18" x14ac:dyDescent="0.2">
      <c r="A31" s="30"/>
      <c r="C31" s="37">
        <v>0</v>
      </c>
      <c r="D31" s="37"/>
      <c r="E31" s="159"/>
      <c r="F31" s="37"/>
      <c r="G31" s="37"/>
      <c r="H31" s="166"/>
      <c r="I31" s="37"/>
      <c r="J31" s="159"/>
      <c r="K31" s="37">
        <v>0</v>
      </c>
      <c r="L31" s="29">
        <v>0</v>
      </c>
      <c r="M31" s="159"/>
      <c r="N31" s="33">
        <f>SUM(L31:M31)</f>
        <v>0</v>
      </c>
      <c r="O31" s="37"/>
      <c r="P31" s="37"/>
      <c r="Q31" s="29">
        <f>SUM(N31:P31)</f>
        <v>0</v>
      </c>
      <c r="R31" s="103">
        <f>K31-Q31</f>
        <v>0</v>
      </c>
    </row>
    <row r="32" spans="1:18" x14ac:dyDescent="0.2">
      <c r="A32" s="30"/>
      <c r="B32" s="1" t="s">
        <v>41</v>
      </c>
      <c r="C32" s="35">
        <f>SUM(C31:C31)</f>
        <v>0</v>
      </c>
      <c r="D32" s="35"/>
      <c r="E32" s="157">
        <f t="shared" ref="E32:M32" si="17">SUM(E31:E31)</f>
        <v>0</v>
      </c>
      <c r="F32" s="35">
        <f t="shared" si="17"/>
        <v>0</v>
      </c>
      <c r="G32" s="35"/>
      <c r="H32" s="157">
        <f t="shared" si="17"/>
        <v>0</v>
      </c>
      <c r="I32" s="35">
        <f t="shared" si="17"/>
        <v>0</v>
      </c>
      <c r="J32" s="157">
        <f t="shared" si="17"/>
        <v>0</v>
      </c>
      <c r="K32" s="35">
        <f t="shared" si="17"/>
        <v>0</v>
      </c>
      <c r="L32" s="35">
        <f t="shared" si="17"/>
        <v>0</v>
      </c>
      <c r="M32" s="157">
        <f t="shared" si="17"/>
        <v>0</v>
      </c>
      <c r="N32" s="48">
        <f>SUM(L32:M32)</f>
        <v>0</v>
      </c>
      <c r="O32" s="35"/>
      <c r="P32" s="35">
        <v>0</v>
      </c>
      <c r="Q32" s="49">
        <f>SUM(N32:P32)</f>
        <v>0</v>
      </c>
      <c r="R32" s="35">
        <f>SUM(R31:R31)</f>
        <v>0</v>
      </c>
    </row>
    <row r="33" spans="1:18" x14ac:dyDescent="0.2">
      <c r="A33" s="30"/>
      <c r="C33" s="52"/>
      <c r="D33" s="52"/>
      <c r="E33" s="157"/>
      <c r="F33" s="52"/>
      <c r="G33" s="52"/>
      <c r="H33" s="161"/>
      <c r="I33" s="52"/>
      <c r="J33" s="157"/>
      <c r="K33" s="52"/>
      <c r="L33" s="54"/>
      <c r="M33" s="157"/>
      <c r="N33" s="54"/>
      <c r="O33" s="52"/>
      <c r="P33" s="52"/>
      <c r="Q33" s="55"/>
      <c r="R33" s="52"/>
    </row>
    <row r="34" spans="1:18" x14ac:dyDescent="0.2">
      <c r="A34" s="30">
        <v>339</v>
      </c>
      <c r="B34" t="s">
        <v>103</v>
      </c>
      <c r="C34" s="52"/>
      <c r="D34" s="52"/>
      <c r="E34" s="157">
        <f>SUM(C34:D34)</f>
        <v>0</v>
      </c>
      <c r="F34" s="52"/>
      <c r="G34" s="52"/>
      <c r="H34" s="163">
        <f>SUM(E34:G34)</f>
        <v>0</v>
      </c>
      <c r="I34" s="52"/>
      <c r="J34" s="169">
        <f t="shared" ref="J34:J37" si="18">SUM(H34:I34)</f>
        <v>0</v>
      </c>
      <c r="K34" s="52"/>
      <c r="L34" s="54"/>
      <c r="M34" s="157"/>
      <c r="N34" s="44">
        <f>SUM(L34:M34)</f>
        <v>0</v>
      </c>
      <c r="O34" s="36"/>
      <c r="P34" s="52"/>
      <c r="Q34" s="44">
        <f t="shared" ref="Q34:Q37" si="19">SUM(N34:P34)</f>
        <v>0</v>
      </c>
      <c r="R34" s="111">
        <f>J34-L34</f>
        <v>0</v>
      </c>
    </row>
    <row r="35" spans="1:18" x14ac:dyDescent="0.2">
      <c r="A35" s="30">
        <v>432</v>
      </c>
      <c r="B35" t="s">
        <v>82</v>
      </c>
      <c r="C35" s="52"/>
      <c r="D35" s="52"/>
      <c r="E35" s="157">
        <f t="shared" ref="E35:E36" si="20">SUM(C35:D35)</f>
        <v>0</v>
      </c>
      <c r="F35" s="52"/>
      <c r="G35" s="52"/>
      <c r="H35" s="163">
        <f t="shared" ref="H35:H37" si="21">SUM(E35:G35)</f>
        <v>0</v>
      </c>
      <c r="I35" s="36"/>
      <c r="J35" s="169">
        <f t="shared" si="18"/>
        <v>0</v>
      </c>
      <c r="K35" s="52"/>
      <c r="L35" s="54">
        <v>0</v>
      </c>
      <c r="M35" s="157"/>
      <c r="N35" s="44"/>
      <c r="O35" s="36"/>
      <c r="P35" s="52"/>
      <c r="Q35" s="44"/>
      <c r="R35" s="111">
        <f t="shared" ref="R35:R37" si="22">J35-L35</f>
        <v>0</v>
      </c>
    </row>
    <row r="36" spans="1:18" x14ac:dyDescent="0.2">
      <c r="A36" s="30">
        <v>550</v>
      </c>
      <c r="B36" t="s">
        <v>43</v>
      </c>
      <c r="C36" s="36"/>
      <c r="D36" s="36"/>
      <c r="E36" s="157">
        <f t="shared" si="20"/>
        <v>0</v>
      </c>
      <c r="F36" s="36"/>
      <c r="G36" s="36"/>
      <c r="H36" s="163">
        <f t="shared" si="21"/>
        <v>0</v>
      </c>
      <c r="I36" s="36"/>
      <c r="J36" s="169">
        <f t="shared" si="18"/>
        <v>0</v>
      </c>
      <c r="K36" s="52"/>
      <c r="L36" s="28"/>
      <c r="M36" s="157"/>
      <c r="N36" s="28">
        <f>SUM(L36:M36)</f>
        <v>0</v>
      </c>
      <c r="O36" s="36"/>
      <c r="P36" s="36"/>
      <c r="Q36" s="44">
        <f t="shared" si="19"/>
        <v>0</v>
      </c>
      <c r="R36" s="111">
        <f t="shared" si="22"/>
        <v>0</v>
      </c>
    </row>
    <row r="37" spans="1:18" x14ac:dyDescent="0.2">
      <c r="A37" s="30">
        <v>811</v>
      </c>
      <c r="B37" t="s">
        <v>48</v>
      </c>
      <c r="C37" s="37">
        <v>0</v>
      </c>
      <c r="D37" s="37"/>
      <c r="E37" s="159"/>
      <c r="F37" s="37"/>
      <c r="G37" s="37"/>
      <c r="H37" s="163">
        <f t="shared" si="21"/>
        <v>0</v>
      </c>
      <c r="I37" s="37"/>
      <c r="J37" s="170">
        <f t="shared" si="18"/>
        <v>0</v>
      </c>
      <c r="K37" s="97"/>
      <c r="L37" s="29"/>
      <c r="M37" s="159"/>
      <c r="N37" s="29">
        <f>SUM(L37:M37)</f>
        <v>0</v>
      </c>
      <c r="O37" s="37"/>
      <c r="P37" s="37"/>
      <c r="Q37" s="29">
        <f t="shared" si="19"/>
        <v>0</v>
      </c>
      <c r="R37" s="107">
        <f t="shared" si="22"/>
        <v>0</v>
      </c>
    </row>
    <row r="38" spans="1:18" x14ac:dyDescent="0.2">
      <c r="A38" s="30"/>
      <c r="B38" s="1" t="s">
        <v>40</v>
      </c>
      <c r="C38" s="38">
        <f>SUM(C34:C37)</f>
        <v>0</v>
      </c>
      <c r="D38" s="38"/>
      <c r="E38" s="160">
        <f>SUM(E34:E37)</f>
        <v>0</v>
      </c>
      <c r="F38" s="38">
        <f t="shared" ref="F38:R38" si="23">SUM(F34:F37)</f>
        <v>0</v>
      </c>
      <c r="G38" s="38"/>
      <c r="H38" s="160">
        <f t="shared" si="23"/>
        <v>0</v>
      </c>
      <c r="I38" s="38">
        <f t="shared" si="23"/>
        <v>0</v>
      </c>
      <c r="J38" s="160">
        <f t="shared" si="23"/>
        <v>0</v>
      </c>
      <c r="K38" s="38">
        <f t="shared" si="23"/>
        <v>0</v>
      </c>
      <c r="L38" s="38">
        <f t="shared" si="23"/>
        <v>0</v>
      </c>
      <c r="M38" s="160">
        <f t="shared" si="23"/>
        <v>0</v>
      </c>
      <c r="N38" s="175">
        <f t="shared" si="23"/>
        <v>0</v>
      </c>
      <c r="O38" s="38"/>
      <c r="P38" s="38">
        <f t="shared" si="23"/>
        <v>0</v>
      </c>
      <c r="Q38" s="38">
        <f t="shared" si="23"/>
        <v>0</v>
      </c>
      <c r="R38" s="38">
        <f t="shared" si="23"/>
        <v>0</v>
      </c>
    </row>
    <row r="39" spans="1:18" x14ac:dyDescent="0.2">
      <c r="A39" s="30"/>
      <c r="C39" s="50"/>
      <c r="D39" s="50"/>
      <c r="E39" s="160"/>
      <c r="F39" s="50"/>
      <c r="G39" s="50"/>
      <c r="H39" s="161"/>
      <c r="I39" s="50"/>
      <c r="J39" s="160"/>
      <c r="K39" s="50"/>
      <c r="L39" s="51"/>
      <c r="M39" s="157"/>
      <c r="N39" s="51"/>
      <c r="O39" s="50"/>
      <c r="P39" s="50"/>
      <c r="Q39" s="53"/>
      <c r="R39" s="53"/>
    </row>
    <row r="40" spans="1:18" x14ac:dyDescent="0.2">
      <c r="A40" s="30"/>
      <c r="C40" s="30"/>
      <c r="D40" s="30"/>
      <c r="E40" s="161"/>
      <c r="F40" s="30"/>
      <c r="G40" s="30"/>
      <c r="H40" s="166"/>
      <c r="I40" s="30"/>
      <c r="J40" s="161"/>
      <c r="K40" s="18"/>
      <c r="M40" s="161"/>
      <c r="O40" s="30"/>
      <c r="P40" s="30"/>
      <c r="Q40" s="41"/>
      <c r="R40" s="41"/>
    </row>
    <row r="41" spans="1:18" ht="13.5" thickBot="1" x14ac:dyDescent="0.25">
      <c r="A41" s="30"/>
      <c r="B41" s="68" t="s">
        <v>34</v>
      </c>
      <c r="C41" s="39">
        <f t="shared" ref="C41:H41" si="24">SUM(C6+C14+C18+C29+C32+C38)</f>
        <v>279480</v>
      </c>
      <c r="D41" s="39">
        <f t="shared" si="24"/>
        <v>91746</v>
      </c>
      <c r="E41" s="162">
        <f t="shared" si="24"/>
        <v>371226</v>
      </c>
      <c r="F41" s="39">
        <f t="shared" si="24"/>
        <v>148732</v>
      </c>
      <c r="G41" s="39">
        <f t="shared" si="24"/>
        <v>16125</v>
      </c>
      <c r="H41" s="162">
        <f t="shared" si="24"/>
        <v>536083</v>
      </c>
      <c r="I41" s="39">
        <f>SUM(I6+I14+I18+I21+I29+I32+I38)</f>
        <v>-1500</v>
      </c>
      <c r="J41" s="162">
        <f>SUM(J6+J14+J18+J21+J29+J32+J38)</f>
        <v>536083</v>
      </c>
      <c r="K41" s="39">
        <f>SUM(K6+K14+K18+K21+K29+K32+K38)</f>
        <v>0</v>
      </c>
      <c r="L41" s="39">
        <f>SUM(L6+L14+L18+L29+L32+L38)</f>
        <v>332511.08999999997</v>
      </c>
      <c r="M41" s="162">
        <f>SUM(M6+M14+M18+M29+M32+M38)</f>
        <v>230113.65000000002</v>
      </c>
      <c r="N41" s="176">
        <f>SUM(N6+N14+N18+N29+N32+N38)</f>
        <v>62432.97</v>
      </c>
      <c r="O41" s="39"/>
      <c r="P41" s="39">
        <f>SUM(P6+P14+P18+P29+P32+P38)</f>
        <v>144963.08260000002</v>
      </c>
      <c r="Q41" s="39">
        <f>SUM(Q6+Q14+Q18+Q29+Q32+Q38)</f>
        <v>499942.67260000005</v>
      </c>
      <c r="R41" s="104">
        <f>SUM(R6+R14+R18+R20+R29+R32+R38)</f>
        <v>12614.727399999987</v>
      </c>
    </row>
    <row r="42" spans="1:18" ht="13.5" thickTop="1" x14ac:dyDescent="0.2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x14ac:dyDescent="0.2">
      <c r="B43" s="1"/>
      <c r="C43" s="110"/>
      <c r="D43" s="110"/>
      <c r="E43" s="110"/>
      <c r="K43" s="92">
        <v>16000</v>
      </c>
    </row>
    <row r="45" spans="1:18" x14ac:dyDescent="0.2">
      <c r="B45" s="1"/>
      <c r="K45" s="95">
        <f>SUM(K41-K43)</f>
        <v>-16000</v>
      </c>
    </row>
  </sheetData>
  <phoneticPr fontId="6" type="noConversion"/>
  <printOptions horizontalCentered="1"/>
  <pageMargins left="0.25" right="0.25" top="0.75" bottom="0.75" header="0.3" footer="0.3"/>
  <pageSetup paperSize="5" scale="78" orientation="landscape" r:id="rId1"/>
  <headerFooter alignWithMargins="0">
    <oddFooter>&amp;RPrepared by: 
Mike Escaname 
HCHHD
05/09/14</oddFooter>
  </headerFooter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39"/>
  <sheetViews>
    <sheetView tabSelected="1" zoomScaleNormal="100" workbookViewId="0">
      <selection activeCell="D25" sqref="D25"/>
    </sheetView>
  </sheetViews>
  <sheetFormatPr defaultRowHeight="12.75" x14ac:dyDescent="0.2"/>
  <cols>
    <col min="4" max="5" width="15.5703125" customWidth="1"/>
    <col min="6" max="6" width="13.42578125" customWidth="1"/>
    <col min="7" max="9" width="16.140625" customWidth="1"/>
    <col min="10" max="12" width="16.85546875" customWidth="1"/>
    <col min="13" max="13" width="15.5703125" customWidth="1"/>
    <col min="14" max="14" width="20.42578125" hidden="1" customWidth="1"/>
    <col min="15" max="15" width="0" hidden="1" customWidth="1"/>
  </cols>
  <sheetData>
    <row r="1" spans="1:14" x14ac:dyDescent="0.2">
      <c r="A1" t="s">
        <v>117</v>
      </c>
    </row>
    <row r="3" spans="1:14" x14ac:dyDescent="0.2">
      <c r="A3" s="66" t="s">
        <v>135</v>
      </c>
    </row>
    <row r="4" spans="1:14" x14ac:dyDescent="0.2">
      <c r="A4" s="85" t="s">
        <v>106</v>
      </c>
      <c r="B4" s="85"/>
      <c r="D4" s="84"/>
      <c r="E4" s="84"/>
    </row>
    <row r="5" spans="1:14" x14ac:dyDescent="0.2">
      <c r="B5" s="2" t="s">
        <v>136</v>
      </c>
      <c r="C5" s="2"/>
      <c r="D5" s="2"/>
      <c r="E5" s="2"/>
      <c r="F5" s="2"/>
      <c r="G5" s="2"/>
      <c r="H5" s="2"/>
      <c r="I5" s="2"/>
      <c r="J5" s="1"/>
      <c r="K5" s="1"/>
    </row>
    <row r="6" spans="1:14" x14ac:dyDescent="0.2">
      <c r="B6" s="27"/>
      <c r="I6" s="150">
        <v>41768</v>
      </c>
    </row>
    <row r="7" spans="1:14" x14ac:dyDescent="0.2">
      <c r="D7" s="78" t="s">
        <v>0</v>
      </c>
      <c r="E7" s="78" t="s">
        <v>0</v>
      </c>
      <c r="F7" s="78" t="s">
        <v>1</v>
      </c>
      <c r="G7" s="78" t="s">
        <v>2</v>
      </c>
      <c r="H7" s="78" t="s">
        <v>2</v>
      </c>
      <c r="I7" s="78" t="s">
        <v>3</v>
      </c>
      <c r="J7" s="78" t="s">
        <v>3</v>
      </c>
      <c r="K7" s="79" t="s">
        <v>4</v>
      </c>
      <c r="L7" s="79" t="s">
        <v>4</v>
      </c>
    </row>
    <row r="8" spans="1:14" x14ac:dyDescent="0.2">
      <c r="D8" s="80" t="s">
        <v>5</v>
      </c>
      <c r="E8" s="80" t="s">
        <v>5</v>
      </c>
      <c r="F8" s="80" t="s">
        <v>6</v>
      </c>
      <c r="G8" s="80" t="s">
        <v>7</v>
      </c>
      <c r="H8" s="80" t="s">
        <v>7</v>
      </c>
      <c r="I8" s="80" t="s">
        <v>8</v>
      </c>
      <c r="J8" s="80" t="s">
        <v>8</v>
      </c>
      <c r="K8" s="81" t="s">
        <v>109</v>
      </c>
      <c r="L8" s="81" t="s">
        <v>109</v>
      </c>
    </row>
    <row r="9" spans="1:14" x14ac:dyDescent="0.2">
      <c r="A9" s="17"/>
      <c r="B9" s="17"/>
      <c r="C9" s="3"/>
      <c r="D9" s="86" t="s">
        <v>107</v>
      </c>
      <c r="E9" s="86" t="s">
        <v>108</v>
      </c>
      <c r="F9" s="82"/>
      <c r="G9" s="86" t="s">
        <v>107</v>
      </c>
      <c r="H9" s="86" t="s">
        <v>108</v>
      </c>
      <c r="I9" s="86" t="s">
        <v>107</v>
      </c>
      <c r="J9" s="86" t="s">
        <v>108</v>
      </c>
      <c r="K9" s="86" t="s">
        <v>107</v>
      </c>
      <c r="L9" s="86" t="s">
        <v>108</v>
      </c>
      <c r="M9" s="5"/>
    </row>
    <row r="10" spans="1:14" x14ac:dyDescent="0.2">
      <c r="A10" s="5"/>
      <c r="B10" s="5"/>
      <c r="C10" s="3"/>
      <c r="D10" s="142">
        <v>0.8</v>
      </c>
      <c r="E10" s="142">
        <v>0.2</v>
      </c>
      <c r="F10" s="69"/>
      <c r="G10" s="142">
        <v>0.8</v>
      </c>
      <c r="H10" s="142">
        <v>0.2</v>
      </c>
      <c r="I10" s="142">
        <v>0.8</v>
      </c>
      <c r="J10" s="142">
        <v>0.2</v>
      </c>
      <c r="K10" s="142">
        <v>0.8</v>
      </c>
      <c r="L10" s="142">
        <v>0.2</v>
      </c>
      <c r="M10" s="5"/>
    </row>
    <row r="11" spans="1:14" x14ac:dyDescent="0.2">
      <c r="A11" s="6" t="s">
        <v>11</v>
      </c>
      <c r="B11" s="5"/>
      <c r="C11" s="7">
        <v>113</v>
      </c>
      <c r="D11" s="146">
        <f>287728/26</f>
        <v>11066.461538461539</v>
      </c>
      <c r="E11" s="143"/>
      <c r="F11" s="9">
        <v>9.5</v>
      </c>
      <c r="G11" s="149">
        <f>(D11*F11)</f>
        <v>105131.38461538462</v>
      </c>
      <c r="H11" s="10"/>
      <c r="I11" s="149">
        <f>SUM('Budget Analysis'!C5+'Budget Analysis'!F5-'Budget Analysis'!M5)</f>
        <v>123063.25</v>
      </c>
      <c r="J11" s="11"/>
      <c r="K11" s="178">
        <f>I11-G11</f>
        <v>17931.865384615376</v>
      </c>
      <c r="L11" s="181">
        <f>J11-H11</f>
        <v>0</v>
      </c>
      <c r="M11" s="5"/>
    </row>
    <row r="12" spans="1:14" x14ac:dyDescent="0.2">
      <c r="A12" s="69" t="s">
        <v>49</v>
      </c>
      <c r="C12" s="70"/>
      <c r="D12" s="140">
        <f t="shared" ref="D12:H12" si="0">SUM(D11)</f>
        <v>11066.461538461539</v>
      </c>
      <c r="E12" s="140">
        <f t="shared" si="0"/>
        <v>0</v>
      </c>
      <c r="F12" s="140">
        <f t="shared" si="0"/>
        <v>9.5</v>
      </c>
      <c r="G12" s="140">
        <f t="shared" si="0"/>
        <v>105131.38461538462</v>
      </c>
      <c r="H12" s="140">
        <f t="shared" si="0"/>
        <v>0</v>
      </c>
      <c r="I12" s="140">
        <f>SUM(I11)</f>
        <v>123063.25</v>
      </c>
      <c r="J12" s="140">
        <f>SUM(J11)</f>
        <v>0</v>
      </c>
      <c r="K12" s="179">
        <f>SUM(K11)</f>
        <v>17931.865384615376</v>
      </c>
      <c r="L12" s="182">
        <f>SUM(L11:L11)</f>
        <v>0</v>
      </c>
      <c r="M12" s="12"/>
    </row>
    <row r="13" spans="1:14" x14ac:dyDescent="0.2">
      <c r="A13" s="69"/>
      <c r="C13" s="14"/>
      <c r="D13" s="13"/>
      <c r="E13" s="144"/>
      <c r="F13" s="9"/>
      <c r="G13" s="11"/>
      <c r="H13" s="11"/>
      <c r="I13" s="11"/>
      <c r="J13" s="11"/>
      <c r="K13" s="11"/>
      <c r="L13" s="58"/>
      <c r="M13" s="12"/>
    </row>
    <row r="14" spans="1:14" x14ac:dyDescent="0.2">
      <c r="A14" s="6" t="s">
        <v>12</v>
      </c>
      <c r="B14" s="5"/>
      <c r="C14" s="7">
        <v>211</v>
      </c>
      <c r="D14" s="146">
        <v>1981.09</v>
      </c>
      <c r="E14" s="143"/>
      <c r="F14" s="9">
        <v>9.5</v>
      </c>
      <c r="G14" s="149">
        <f t="shared" ref="G14:G19" si="1">(D14*F14)</f>
        <v>18820.355</v>
      </c>
      <c r="H14" s="10"/>
      <c r="I14" s="149">
        <f>SUM('Budget Analysis'!C8+'Budget Analysis'!F8-'Budget Analysis'!M8)</f>
        <v>8663.9599999999991</v>
      </c>
      <c r="J14" s="13"/>
      <c r="K14" s="153">
        <f>I14-G14</f>
        <v>-10156.395</v>
      </c>
      <c r="L14" s="181">
        <f>J14-H14</f>
        <v>0</v>
      </c>
      <c r="M14" s="12"/>
      <c r="N14" s="16">
        <f>SUM(G12:G19)</f>
        <v>144963.08259999997</v>
      </c>
    </row>
    <row r="15" spans="1:14" x14ac:dyDescent="0.2">
      <c r="A15" s="6" t="s">
        <v>115</v>
      </c>
      <c r="B15" s="5"/>
      <c r="C15" s="7">
        <v>212</v>
      </c>
      <c r="D15" s="146">
        <v>26.45</v>
      </c>
      <c r="E15" s="8"/>
      <c r="F15" s="14">
        <v>5</v>
      </c>
      <c r="G15" s="149">
        <f t="shared" si="1"/>
        <v>132.25</v>
      </c>
      <c r="H15" s="10"/>
      <c r="I15" s="149">
        <f>SUM('Budget Analysis'!C9+'Budget Analysis'!F9-'Budget Analysis'!M9)</f>
        <v>66.269999999999982</v>
      </c>
      <c r="J15" s="13"/>
      <c r="K15" s="153">
        <f t="shared" ref="K15:K19" si="2">I15-G15</f>
        <v>-65.980000000000018</v>
      </c>
      <c r="L15" s="181">
        <f t="shared" ref="L15:L19" si="3">J15-H15</f>
        <v>0</v>
      </c>
      <c r="M15" s="5"/>
      <c r="N15" s="16">
        <f>SUM(N14:N14)</f>
        <v>144963.08259999997</v>
      </c>
    </row>
    <row r="16" spans="1:14" x14ac:dyDescent="0.2">
      <c r="A16" s="6" t="s">
        <v>14</v>
      </c>
      <c r="B16" s="5"/>
      <c r="C16" s="7">
        <v>220</v>
      </c>
      <c r="D16" s="146">
        <f>D11*0.0765</f>
        <v>846.58430769230768</v>
      </c>
      <c r="E16" s="143"/>
      <c r="F16" s="9">
        <v>9.5</v>
      </c>
      <c r="G16" s="149">
        <f t="shared" si="1"/>
        <v>8042.550923076923</v>
      </c>
      <c r="H16" s="10"/>
      <c r="I16" s="149">
        <f>SUM('Budget Analysis'!C10+'Budget Analysis'!F10-'Budget Analysis'!M10)</f>
        <v>9767.2799999999988</v>
      </c>
      <c r="J16" s="13"/>
      <c r="K16" s="178">
        <f t="shared" si="2"/>
        <v>1724.7290769230758</v>
      </c>
      <c r="L16" s="181">
        <f t="shared" si="3"/>
        <v>0</v>
      </c>
      <c r="M16" s="12"/>
      <c r="N16">
        <f>N14/N15</f>
        <v>1</v>
      </c>
    </row>
    <row r="17" spans="1:16" x14ac:dyDescent="0.2">
      <c r="A17" s="6" t="s">
        <v>15</v>
      </c>
      <c r="B17" s="5"/>
      <c r="C17" s="7">
        <v>230</v>
      </c>
      <c r="D17" s="147">
        <f>D11*0.1089</f>
        <v>1205.1376615384615</v>
      </c>
      <c r="E17" s="145"/>
      <c r="F17" s="9">
        <v>9.5</v>
      </c>
      <c r="G17" s="149">
        <f t="shared" si="1"/>
        <v>11448.807784615385</v>
      </c>
      <c r="H17" s="10"/>
      <c r="I17" s="149">
        <f>SUM('Budget Analysis'!C11+'Budget Analysis'!F11-'Budget Analysis'!M11)</f>
        <v>12011.309999999998</v>
      </c>
      <c r="J17" s="13"/>
      <c r="K17" s="178">
        <f t="shared" si="2"/>
        <v>562.50221538461301</v>
      </c>
      <c r="L17" s="181">
        <f t="shared" si="3"/>
        <v>0</v>
      </c>
      <c r="M17" s="12"/>
    </row>
    <row r="18" spans="1:16" x14ac:dyDescent="0.2">
      <c r="A18" s="6" t="s">
        <v>16</v>
      </c>
      <c r="B18" s="5"/>
      <c r="C18" s="7">
        <v>250</v>
      </c>
      <c r="D18" s="147">
        <f>D11*0.57%</f>
        <v>63.078830769230763</v>
      </c>
      <c r="E18" s="15"/>
      <c r="F18" s="9">
        <v>9.5</v>
      </c>
      <c r="G18" s="149">
        <f t="shared" si="1"/>
        <v>599.24889230769224</v>
      </c>
      <c r="H18" s="10"/>
      <c r="I18" s="149">
        <f>SUM('Budget Analysis'!C12+'Budget Analysis'!F12-'Budget Analysis'!M12)</f>
        <v>1978.04</v>
      </c>
      <c r="J18" s="13"/>
      <c r="K18" s="178">
        <f t="shared" si="2"/>
        <v>1378.7911076923078</v>
      </c>
      <c r="L18" s="181">
        <f t="shared" si="3"/>
        <v>0</v>
      </c>
      <c r="M18" s="5"/>
      <c r="N18" s="16"/>
    </row>
    <row r="19" spans="1:16" x14ac:dyDescent="0.2">
      <c r="A19" s="6" t="s">
        <v>17</v>
      </c>
      <c r="B19" s="41"/>
      <c r="C19" s="3">
        <v>260</v>
      </c>
      <c r="D19" s="148">
        <f>D11*0.75%</f>
        <v>82.998461538461541</v>
      </c>
      <c r="E19" s="151"/>
      <c r="F19" s="14">
        <v>9.5</v>
      </c>
      <c r="G19" s="149">
        <f t="shared" si="1"/>
        <v>788.48538461538465</v>
      </c>
      <c r="H19" s="152"/>
      <c r="I19" s="149">
        <f>SUM('Budget Analysis'!C13+'Budget Analysis'!F13-'Budget Analysis'!M13)</f>
        <v>2159.2399999999998</v>
      </c>
      <c r="J19" s="13"/>
      <c r="K19" s="183">
        <f t="shared" si="2"/>
        <v>1370.7546153846151</v>
      </c>
      <c r="L19" s="181">
        <f t="shared" si="3"/>
        <v>0</v>
      </c>
      <c r="M19" s="12"/>
      <c r="N19" s="16"/>
    </row>
    <row r="20" spans="1:16" x14ac:dyDescent="0.2">
      <c r="A20" s="69" t="s">
        <v>50</v>
      </c>
      <c r="B20" s="5"/>
      <c r="C20" s="75"/>
      <c r="D20" s="141">
        <f t="shared" ref="D20:H20" si="4">SUM(D14:D19)</f>
        <v>4205.3392615384619</v>
      </c>
      <c r="E20" s="141">
        <f t="shared" si="4"/>
        <v>0</v>
      </c>
      <c r="F20" s="141">
        <f t="shared" si="4"/>
        <v>52.5</v>
      </c>
      <c r="G20" s="141">
        <f t="shared" si="4"/>
        <v>39831.697984615384</v>
      </c>
      <c r="H20" s="141">
        <f t="shared" si="4"/>
        <v>0</v>
      </c>
      <c r="I20" s="141">
        <f>SUM(I14:I19)</f>
        <v>34646.1</v>
      </c>
      <c r="J20" s="141">
        <f>SUM(J14:J19)</f>
        <v>0</v>
      </c>
      <c r="K20" s="191">
        <f>SUM(K14:K19)</f>
        <v>-5185.5979846153887</v>
      </c>
      <c r="L20" s="182">
        <f>SUM(L14:L19)</f>
        <v>0</v>
      </c>
      <c r="M20" s="12"/>
      <c r="N20" s="16"/>
    </row>
    <row r="21" spans="1:16" x14ac:dyDescent="0.2">
      <c r="A21" s="6"/>
      <c r="B21" s="5"/>
      <c r="C21" s="20"/>
      <c r="D21" s="20"/>
      <c r="E21" s="20"/>
      <c r="F21" s="20"/>
      <c r="G21" s="20"/>
      <c r="H21" s="20"/>
      <c r="I21" s="20"/>
      <c r="J21" s="20"/>
      <c r="K21" s="20"/>
      <c r="L21" s="60"/>
      <c r="M21" s="5"/>
    </row>
    <row r="22" spans="1:16" x14ac:dyDescent="0.2">
      <c r="A22" s="4"/>
      <c r="B22" s="17"/>
      <c r="C22" s="18"/>
      <c r="D22" s="21">
        <f>SUM(D12+D20)</f>
        <v>15271.800800000001</v>
      </c>
      <c r="E22" s="21">
        <f t="shared" ref="E22:L22" si="5">SUM(E12+E20)</f>
        <v>0</v>
      </c>
      <c r="F22" s="21">
        <f t="shared" si="5"/>
        <v>62</v>
      </c>
      <c r="G22" s="21">
        <f t="shared" si="5"/>
        <v>144963.08260000002</v>
      </c>
      <c r="H22" s="21">
        <f t="shared" si="5"/>
        <v>0</v>
      </c>
      <c r="I22" s="21">
        <f t="shared" si="5"/>
        <v>157709.35</v>
      </c>
      <c r="J22" s="21">
        <f t="shared" si="5"/>
        <v>0</v>
      </c>
      <c r="K22" s="21">
        <f t="shared" si="5"/>
        <v>12746.267399999986</v>
      </c>
      <c r="L22" s="21">
        <f t="shared" si="5"/>
        <v>0</v>
      </c>
      <c r="M22" s="23"/>
    </row>
    <row r="23" spans="1:16" ht="13.5" thickBot="1" x14ac:dyDescent="0.25">
      <c r="L23" s="83"/>
      <c r="M23" s="5"/>
      <c r="N23" s="24"/>
    </row>
    <row r="24" spans="1:16" ht="13.5" thickTop="1" x14ac:dyDescent="0.2">
      <c r="A24" t="s">
        <v>116</v>
      </c>
      <c r="H24" s="194" t="s">
        <v>120</v>
      </c>
      <c r="I24" s="194"/>
      <c r="K24" s="154" t="s">
        <v>118</v>
      </c>
      <c r="M24" s="5"/>
    </row>
    <row r="25" spans="1:16" x14ac:dyDescent="0.2">
      <c r="F25" s="56">
        <v>1</v>
      </c>
      <c r="G25" t="s">
        <v>110</v>
      </c>
      <c r="H25" s="25">
        <v>41750</v>
      </c>
      <c r="I25" s="25">
        <v>41763</v>
      </c>
      <c r="K25" s="25">
        <v>41775</v>
      </c>
      <c r="N25" s="25"/>
      <c r="P25" s="25"/>
    </row>
    <row r="26" spans="1:16" x14ac:dyDescent="0.2">
      <c r="F26" s="56">
        <v>2</v>
      </c>
      <c r="G26" t="s">
        <v>111</v>
      </c>
      <c r="H26" s="25">
        <v>41764</v>
      </c>
      <c r="I26" s="25">
        <v>41777</v>
      </c>
      <c r="K26" s="25">
        <v>41789</v>
      </c>
      <c r="N26" s="25"/>
      <c r="P26" s="25"/>
    </row>
    <row r="27" spans="1:16" x14ac:dyDescent="0.2">
      <c r="F27" s="56">
        <v>3</v>
      </c>
      <c r="G27" t="s">
        <v>112</v>
      </c>
      <c r="H27" s="25">
        <v>41778</v>
      </c>
      <c r="I27" s="25">
        <v>41791</v>
      </c>
      <c r="K27" s="25">
        <v>41803</v>
      </c>
    </row>
    <row r="28" spans="1:16" x14ac:dyDescent="0.2">
      <c r="A28" s="94"/>
      <c r="B28" s="94"/>
      <c r="C28" s="94"/>
      <c r="D28" s="94"/>
      <c r="E28" s="94"/>
      <c r="F28" s="56">
        <v>4</v>
      </c>
      <c r="G28" t="s">
        <v>119</v>
      </c>
      <c r="H28" s="25">
        <v>41792</v>
      </c>
      <c r="I28" s="25">
        <v>41805</v>
      </c>
      <c r="K28" s="25">
        <v>41817</v>
      </c>
    </row>
    <row r="29" spans="1:16" x14ac:dyDescent="0.2">
      <c r="A29" s="94"/>
      <c r="B29" s="94"/>
      <c r="C29" s="94"/>
      <c r="D29" s="94"/>
      <c r="E29" s="94"/>
      <c r="F29" s="56">
        <v>5</v>
      </c>
      <c r="G29" t="s">
        <v>66</v>
      </c>
      <c r="H29" s="25">
        <v>41806</v>
      </c>
      <c r="I29" s="25">
        <v>41819</v>
      </c>
      <c r="K29" s="25">
        <v>41831</v>
      </c>
    </row>
    <row r="30" spans="1:16" x14ac:dyDescent="0.2">
      <c r="A30" s="94"/>
      <c r="B30" s="94"/>
      <c r="C30" s="94"/>
      <c r="D30" s="94"/>
      <c r="E30" s="94"/>
      <c r="F30" s="56">
        <v>6</v>
      </c>
      <c r="G30" t="s">
        <v>67</v>
      </c>
      <c r="H30" s="25">
        <v>41820</v>
      </c>
      <c r="I30" s="25">
        <v>41833</v>
      </c>
      <c r="K30" s="25">
        <v>41845</v>
      </c>
    </row>
    <row r="31" spans="1:16" x14ac:dyDescent="0.2">
      <c r="F31" s="56">
        <v>7</v>
      </c>
      <c r="G31" t="s">
        <v>68</v>
      </c>
      <c r="H31" s="25">
        <v>41834</v>
      </c>
      <c r="I31" s="25">
        <v>41847</v>
      </c>
      <c r="K31" s="25">
        <v>41859</v>
      </c>
    </row>
    <row r="32" spans="1:16" x14ac:dyDescent="0.2">
      <c r="F32" s="56">
        <v>8</v>
      </c>
      <c r="G32" t="s">
        <v>69</v>
      </c>
      <c r="H32" s="25">
        <v>41848</v>
      </c>
      <c r="I32" s="25">
        <v>41861</v>
      </c>
      <c r="K32" s="25">
        <v>41873</v>
      </c>
    </row>
    <row r="33" spans="1:12" x14ac:dyDescent="0.2">
      <c r="F33" s="56">
        <v>9</v>
      </c>
      <c r="G33" t="s">
        <v>70</v>
      </c>
      <c r="H33" s="25">
        <v>41862</v>
      </c>
      <c r="I33" s="25">
        <v>41875</v>
      </c>
      <c r="K33" s="25">
        <v>41887</v>
      </c>
    </row>
    <row r="34" spans="1:12" x14ac:dyDescent="0.2">
      <c r="F34" s="56">
        <v>10</v>
      </c>
      <c r="G34" t="s">
        <v>71</v>
      </c>
      <c r="H34" s="25">
        <v>41876</v>
      </c>
      <c r="I34" s="25">
        <v>41880</v>
      </c>
      <c r="K34" s="25">
        <v>41901</v>
      </c>
      <c r="L34" t="s">
        <v>75</v>
      </c>
    </row>
    <row r="35" spans="1:12" x14ac:dyDescent="0.2">
      <c r="F35" s="56"/>
    </row>
    <row r="36" spans="1:12" x14ac:dyDescent="0.2">
      <c r="A36" s="192"/>
      <c r="B36" s="193"/>
      <c r="C36" s="193"/>
      <c r="F36" s="56"/>
    </row>
    <row r="37" spans="1:12" x14ac:dyDescent="0.2">
      <c r="K37" s="88"/>
    </row>
    <row r="40" spans="1:12" x14ac:dyDescent="0.2">
      <c r="A40" s="1" t="s">
        <v>149</v>
      </c>
      <c r="B40" s="1"/>
      <c r="C40" s="1"/>
    </row>
    <row r="41" spans="1:12" ht="14.25" x14ac:dyDescent="0.2">
      <c r="A41" s="199" t="s">
        <v>138</v>
      </c>
      <c r="B41" s="200"/>
      <c r="C41" s="201"/>
      <c r="D41" s="62" t="s">
        <v>139</v>
      </c>
      <c r="E41" s="62" t="s">
        <v>140</v>
      </c>
      <c r="F41" s="7"/>
    </row>
    <row r="42" spans="1:12" ht="14.25" x14ac:dyDescent="0.2">
      <c r="A42" s="187"/>
      <c r="B42" s="88"/>
      <c r="C42" s="89"/>
      <c r="D42" s="34">
        <v>80660.19</v>
      </c>
      <c r="E42" s="34"/>
      <c r="F42" s="34"/>
      <c r="G42" s="28"/>
      <c r="H42" s="28"/>
    </row>
    <row r="43" spans="1:12" ht="14.25" x14ac:dyDescent="0.2">
      <c r="A43" s="187"/>
      <c r="B43" s="88"/>
      <c r="C43" s="88"/>
      <c r="D43" s="34">
        <v>762.31</v>
      </c>
      <c r="E43" s="34">
        <v>5840.18</v>
      </c>
      <c r="F43" s="34"/>
      <c r="G43" s="28"/>
      <c r="H43" s="28"/>
    </row>
    <row r="44" spans="1:12" ht="14.25" x14ac:dyDescent="0.2">
      <c r="A44" s="187"/>
      <c r="B44" s="88"/>
      <c r="C44" s="88"/>
      <c r="D44" s="34">
        <v>762.31</v>
      </c>
      <c r="E44" s="34">
        <v>1527.27</v>
      </c>
      <c r="F44" s="34"/>
      <c r="G44" s="28"/>
      <c r="H44" s="28"/>
    </row>
    <row r="45" spans="1:12" ht="14.25" x14ac:dyDescent="0.2">
      <c r="A45" s="187"/>
      <c r="B45" s="88"/>
      <c r="C45" s="88"/>
      <c r="D45" s="34">
        <v>762.31</v>
      </c>
      <c r="E45" s="34">
        <v>10102.299999999999</v>
      </c>
      <c r="F45" s="34"/>
      <c r="G45" s="28"/>
      <c r="H45" s="28"/>
    </row>
    <row r="46" spans="1:12" ht="14.25" x14ac:dyDescent="0.2">
      <c r="A46" s="187"/>
      <c r="B46" s="88"/>
      <c r="C46" s="88"/>
      <c r="D46" s="34">
        <v>762.31</v>
      </c>
      <c r="E46" s="34">
        <v>6755.23</v>
      </c>
      <c r="F46" s="34"/>
      <c r="G46" s="28"/>
      <c r="H46" s="28"/>
    </row>
    <row r="47" spans="1:12" ht="14.25" x14ac:dyDescent="0.2">
      <c r="A47" s="187"/>
      <c r="B47" s="88"/>
      <c r="C47" s="88"/>
      <c r="D47" s="34">
        <v>762.31</v>
      </c>
      <c r="E47" s="34">
        <v>4244.42</v>
      </c>
      <c r="F47" s="34"/>
      <c r="G47" s="28"/>
      <c r="H47" s="28"/>
    </row>
    <row r="48" spans="1:12" x14ac:dyDescent="0.2">
      <c r="D48" s="34">
        <v>762.31</v>
      </c>
      <c r="E48" s="34"/>
      <c r="F48" s="34"/>
      <c r="G48" s="28"/>
      <c r="H48" s="28"/>
    </row>
    <row r="49" spans="1:8" x14ac:dyDescent="0.2">
      <c r="D49" s="196">
        <f>SUM(D42:D48)</f>
        <v>85234.049999999988</v>
      </c>
      <c r="E49" s="196">
        <f>SUM(E42:E48)</f>
        <v>28469.4</v>
      </c>
      <c r="F49" s="196">
        <f>SUM(D49:E49)</f>
        <v>113703.44999999998</v>
      </c>
      <c r="G49" s="28"/>
      <c r="H49" s="28"/>
    </row>
    <row r="50" spans="1:8" x14ac:dyDescent="0.2">
      <c r="D50" s="34"/>
      <c r="E50" s="34"/>
      <c r="F50" s="34"/>
      <c r="G50" s="28"/>
      <c r="H50" s="28"/>
    </row>
    <row r="51" spans="1:8" x14ac:dyDescent="0.2">
      <c r="D51" s="34"/>
      <c r="E51" s="34"/>
      <c r="F51" s="34"/>
      <c r="G51" s="28"/>
      <c r="H51" s="28"/>
    </row>
    <row r="52" spans="1:8" x14ac:dyDescent="0.2">
      <c r="A52" t="s">
        <v>141</v>
      </c>
      <c r="D52" s="34">
        <v>9059.42</v>
      </c>
      <c r="E52" s="34"/>
      <c r="F52" s="34"/>
      <c r="G52" s="28"/>
      <c r="H52" s="28"/>
    </row>
    <row r="53" spans="1:8" x14ac:dyDescent="0.2">
      <c r="D53" s="34">
        <v>111.02</v>
      </c>
      <c r="E53" s="34">
        <v>765.8</v>
      </c>
      <c r="F53" s="34"/>
      <c r="G53" s="28"/>
      <c r="H53" s="28"/>
    </row>
    <row r="54" spans="1:8" x14ac:dyDescent="0.2">
      <c r="D54" s="34">
        <v>111.02</v>
      </c>
      <c r="E54" s="34">
        <v>176.73</v>
      </c>
      <c r="F54" s="34"/>
      <c r="G54" s="28"/>
      <c r="H54" s="28"/>
    </row>
    <row r="55" spans="1:8" x14ac:dyDescent="0.2">
      <c r="D55" s="34">
        <v>111.02</v>
      </c>
      <c r="E55" s="34">
        <v>671.8</v>
      </c>
      <c r="F55" s="34"/>
      <c r="G55" s="28"/>
      <c r="H55" s="28"/>
    </row>
    <row r="56" spans="1:8" x14ac:dyDescent="0.2">
      <c r="D56" s="34">
        <v>150.06</v>
      </c>
      <c r="E56" s="34">
        <v>972.75</v>
      </c>
      <c r="F56" s="34"/>
      <c r="G56" s="28"/>
      <c r="H56" s="28"/>
    </row>
    <row r="57" spans="1:8" x14ac:dyDescent="0.2">
      <c r="D57" s="34">
        <v>150.06</v>
      </c>
      <c r="E57" s="34"/>
      <c r="F57" s="34"/>
      <c r="G57" s="28"/>
      <c r="H57" s="28"/>
    </row>
    <row r="58" spans="1:8" x14ac:dyDescent="0.2">
      <c r="D58" s="196">
        <f>SUM(D52:D57)</f>
        <v>9692.6</v>
      </c>
      <c r="E58" s="196">
        <f>SUM(E52:E57)</f>
        <v>2587.08</v>
      </c>
      <c r="F58" s="196">
        <f t="shared" ref="F58" si="6">SUM(D58:E58)</f>
        <v>12279.68</v>
      </c>
      <c r="G58" s="28"/>
      <c r="H58" s="28"/>
    </row>
    <row r="59" spans="1:8" x14ac:dyDescent="0.2">
      <c r="D59" s="34"/>
      <c r="E59" s="34"/>
      <c r="F59" s="34"/>
      <c r="G59" s="28"/>
      <c r="H59" s="28"/>
    </row>
    <row r="60" spans="1:8" x14ac:dyDescent="0.2">
      <c r="D60" s="34"/>
      <c r="E60" s="34"/>
      <c r="F60" s="34"/>
      <c r="G60" s="28"/>
      <c r="H60" s="28"/>
    </row>
    <row r="61" spans="1:8" x14ac:dyDescent="0.2">
      <c r="A61" t="s">
        <v>142</v>
      </c>
      <c r="D61" s="34">
        <v>53.6</v>
      </c>
      <c r="E61" s="34"/>
      <c r="F61" s="34"/>
      <c r="G61" s="28"/>
      <c r="H61" s="28"/>
    </row>
    <row r="62" spans="1:8" x14ac:dyDescent="0.2">
      <c r="D62" s="34">
        <v>1.44</v>
      </c>
      <c r="E62" s="34">
        <v>7.74</v>
      </c>
      <c r="F62" s="34"/>
      <c r="G62" s="28"/>
      <c r="H62" s="28"/>
    </row>
    <row r="63" spans="1:8" x14ac:dyDescent="0.2">
      <c r="D63" s="34">
        <v>1.44</v>
      </c>
      <c r="E63" s="34">
        <v>0.63</v>
      </c>
      <c r="F63" s="34"/>
      <c r="G63" s="28"/>
      <c r="H63" s="28"/>
    </row>
    <row r="64" spans="1:8" x14ac:dyDescent="0.2">
      <c r="D64" s="34">
        <v>1.44</v>
      </c>
      <c r="E64" s="34">
        <v>9.01</v>
      </c>
      <c r="F64" s="34"/>
      <c r="G64" s="28"/>
      <c r="H64" s="28"/>
    </row>
    <row r="65" spans="1:8" x14ac:dyDescent="0.2">
      <c r="D65" s="196">
        <f>SUM(D61:D64)</f>
        <v>57.919999999999995</v>
      </c>
      <c r="E65" s="196">
        <f>SUM(E61:E64)</f>
        <v>17.380000000000003</v>
      </c>
      <c r="F65" s="196">
        <f t="shared" ref="F65" si="7">SUM(D65:E65)</f>
        <v>75.3</v>
      </c>
      <c r="G65" s="28"/>
      <c r="H65" s="28"/>
    </row>
    <row r="66" spans="1:8" x14ac:dyDescent="0.2">
      <c r="D66" s="34"/>
      <c r="E66" s="34"/>
      <c r="F66" s="34"/>
      <c r="G66" s="28"/>
      <c r="H66" s="28"/>
    </row>
    <row r="67" spans="1:8" x14ac:dyDescent="0.2">
      <c r="D67" s="34"/>
      <c r="E67" s="34"/>
      <c r="F67" s="34"/>
      <c r="G67" s="28"/>
      <c r="H67" s="28"/>
    </row>
    <row r="68" spans="1:8" x14ac:dyDescent="0.2">
      <c r="A68" t="s">
        <v>143</v>
      </c>
      <c r="D68" s="34">
        <v>5971.26</v>
      </c>
      <c r="E68" s="34"/>
      <c r="F68" s="34"/>
      <c r="G68" s="28"/>
      <c r="H68" s="28"/>
    </row>
    <row r="69" spans="1:8" x14ac:dyDescent="0.2">
      <c r="D69" s="34">
        <v>56.59</v>
      </c>
      <c r="E69" s="34">
        <v>440.91</v>
      </c>
      <c r="F69" s="34"/>
      <c r="G69" s="28"/>
      <c r="H69" s="28"/>
    </row>
    <row r="70" spans="1:8" x14ac:dyDescent="0.2">
      <c r="D70" s="34">
        <v>56.59</v>
      </c>
      <c r="E70" s="34">
        <v>90.19</v>
      </c>
      <c r="F70" s="34"/>
      <c r="G70" s="28"/>
      <c r="H70" s="28"/>
    </row>
    <row r="71" spans="1:8" x14ac:dyDescent="0.2">
      <c r="D71" s="34">
        <v>56.59</v>
      </c>
      <c r="E71" s="34">
        <v>760.53</v>
      </c>
      <c r="F71" s="34"/>
      <c r="G71" s="28"/>
      <c r="H71" s="28"/>
    </row>
    <row r="72" spans="1:8" x14ac:dyDescent="0.2">
      <c r="D72" s="34">
        <v>58.33</v>
      </c>
      <c r="E72" s="34">
        <v>495.38</v>
      </c>
      <c r="F72" s="34"/>
      <c r="G72" s="28"/>
      <c r="H72" s="28"/>
    </row>
    <row r="73" spans="1:8" x14ac:dyDescent="0.2">
      <c r="D73" s="34">
        <v>56.59</v>
      </c>
      <c r="E73" s="34">
        <v>315.14999999999998</v>
      </c>
      <c r="F73" s="34"/>
      <c r="G73" s="28"/>
      <c r="H73" s="28"/>
    </row>
    <row r="74" spans="1:8" x14ac:dyDescent="0.2">
      <c r="D74" s="34">
        <v>56.59</v>
      </c>
      <c r="E74" s="34"/>
      <c r="F74" s="34"/>
      <c r="G74" s="28"/>
      <c r="H74" s="28"/>
    </row>
    <row r="75" spans="1:8" x14ac:dyDescent="0.2">
      <c r="D75" s="196">
        <f>SUM(D68:D74)</f>
        <v>6312.5400000000009</v>
      </c>
      <c r="E75" s="196">
        <f>SUM(E68:E74)</f>
        <v>2102.1600000000003</v>
      </c>
      <c r="F75" s="196">
        <f t="shared" ref="F75" si="8">SUM(D75:E75)</f>
        <v>8414.7000000000007</v>
      </c>
      <c r="G75" s="28"/>
      <c r="H75" s="28"/>
    </row>
    <row r="76" spans="1:8" x14ac:dyDescent="0.2">
      <c r="D76" s="34"/>
      <c r="E76" s="34"/>
      <c r="F76" s="34"/>
      <c r="G76" s="28"/>
      <c r="H76" s="28"/>
    </row>
    <row r="77" spans="1:8" x14ac:dyDescent="0.2">
      <c r="D77" s="34"/>
      <c r="E77" s="34"/>
      <c r="F77" s="34"/>
      <c r="G77" s="28"/>
      <c r="H77" s="28"/>
    </row>
    <row r="78" spans="1:8" x14ac:dyDescent="0.2">
      <c r="A78" t="s">
        <v>144</v>
      </c>
      <c r="D78" s="34">
        <v>8519.92</v>
      </c>
      <c r="E78" s="34"/>
      <c r="F78" s="34"/>
      <c r="G78" s="28"/>
      <c r="H78" s="28"/>
    </row>
    <row r="79" spans="1:8" x14ac:dyDescent="0.2">
      <c r="D79" s="34">
        <v>80.040000000000006</v>
      </c>
      <c r="E79" s="34">
        <v>634.29999999999995</v>
      </c>
      <c r="F79" s="34"/>
      <c r="G79" s="28"/>
      <c r="H79" s="28"/>
    </row>
    <row r="80" spans="1:8" x14ac:dyDescent="0.2">
      <c r="D80" s="34">
        <v>80.040000000000006</v>
      </c>
      <c r="E80" s="34">
        <v>132.04</v>
      </c>
      <c r="F80" s="34"/>
      <c r="G80" s="28"/>
      <c r="H80" s="28"/>
    </row>
    <row r="81" spans="1:8" x14ac:dyDescent="0.2">
      <c r="D81" s="34">
        <v>80.040000000000006</v>
      </c>
      <c r="E81" s="34">
        <v>1077.4100000000001</v>
      </c>
      <c r="F81" s="34"/>
      <c r="G81" s="28"/>
      <c r="H81" s="28"/>
    </row>
    <row r="82" spans="1:8" x14ac:dyDescent="0.2">
      <c r="D82" s="34">
        <v>80.040000000000006</v>
      </c>
      <c r="E82" s="34">
        <v>720.56</v>
      </c>
      <c r="F82" s="34"/>
      <c r="G82" s="28"/>
      <c r="H82" s="28"/>
    </row>
    <row r="83" spans="1:8" x14ac:dyDescent="0.2">
      <c r="D83" s="34">
        <v>80.040000000000006</v>
      </c>
      <c r="E83" s="34">
        <v>467.65</v>
      </c>
      <c r="F83" s="34"/>
      <c r="G83" s="28"/>
      <c r="H83" s="28"/>
    </row>
    <row r="84" spans="1:8" x14ac:dyDescent="0.2">
      <c r="D84" s="34">
        <v>80.040000000000006</v>
      </c>
      <c r="E84" s="34"/>
      <c r="F84" s="34"/>
      <c r="G84" s="28"/>
      <c r="H84" s="28"/>
    </row>
    <row r="85" spans="1:8" x14ac:dyDescent="0.2">
      <c r="D85" s="196">
        <f>SUM(D78:D84)</f>
        <v>9000.1600000000053</v>
      </c>
      <c r="E85" s="196">
        <f>SUM(E78:E84)</f>
        <v>3031.96</v>
      </c>
      <c r="F85" s="196">
        <f t="shared" ref="F85" si="9">SUM(D85:E85)</f>
        <v>12032.120000000006</v>
      </c>
      <c r="G85" s="28"/>
      <c r="H85" s="28"/>
    </row>
    <row r="86" spans="1:8" x14ac:dyDescent="0.2">
      <c r="D86" s="34"/>
      <c r="E86" s="34"/>
      <c r="F86" s="34"/>
      <c r="G86" s="28"/>
      <c r="H86" s="28"/>
    </row>
    <row r="87" spans="1:8" x14ac:dyDescent="0.2">
      <c r="D87" s="34"/>
      <c r="E87" s="34"/>
      <c r="F87" s="34"/>
      <c r="G87" s="28"/>
      <c r="H87" s="28"/>
    </row>
    <row r="88" spans="1:8" x14ac:dyDescent="0.2">
      <c r="A88" t="s">
        <v>145</v>
      </c>
      <c r="D88" s="34">
        <v>446.31</v>
      </c>
      <c r="E88" s="34"/>
      <c r="F88" s="34"/>
      <c r="G88" s="28"/>
      <c r="H88" s="28"/>
    </row>
    <row r="89" spans="1:8" x14ac:dyDescent="0.2">
      <c r="D89" s="34">
        <v>4.1900000000000004</v>
      </c>
      <c r="E89" s="34">
        <v>0.79</v>
      </c>
      <c r="F89" s="34"/>
      <c r="G89" s="28"/>
      <c r="H89" s="28"/>
    </row>
    <row r="90" spans="1:8" x14ac:dyDescent="0.2">
      <c r="D90" s="34">
        <v>4.1900000000000004</v>
      </c>
      <c r="E90" s="34">
        <v>30.94</v>
      </c>
      <c r="F90" s="34"/>
      <c r="G90" s="28"/>
      <c r="H90" s="28"/>
    </row>
    <row r="91" spans="1:8" x14ac:dyDescent="0.2">
      <c r="D91" s="34">
        <v>4.1900000000000004</v>
      </c>
      <c r="E91" s="34">
        <v>6.95</v>
      </c>
      <c r="F91" s="34"/>
      <c r="G91" s="28"/>
      <c r="H91" s="28"/>
    </row>
    <row r="92" spans="1:8" x14ac:dyDescent="0.2">
      <c r="D92" s="34">
        <v>4.1900000000000004</v>
      </c>
      <c r="E92" s="34">
        <v>38.03</v>
      </c>
      <c r="F92" s="34"/>
      <c r="G92" s="28"/>
      <c r="H92" s="28"/>
    </row>
    <row r="93" spans="1:8" x14ac:dyDescent="0.2">
      <c r="D93" s="34">
        <v>4.1900000000000004</v>
      </c>
      <c r="E93" s="34">
        <v>36.03</v>
      </c>
      <c r="F93" s="34"/>
      <c r="G93" s="28"/>
      <c r="H93" s="28"/>
    </row>
    <row r="94" spans="1:8" x14ac:dyDescent="0.2">
      <c r="D94" s="34">
        <v>4.1900000000000004</v>
      </c>
      <c r="E94" s="34">
        <v>25.42</v>
      </c>
      <c r="F94" s="34"/>
      <c r="G94" s="28"/>
      <c r="H94" s="28"/>
    </row>
    <row r="95" spans="1:8" x14ac:dyDescent="0.2">
      <c r="D95" s="196">
        <f>SUM(D88:D94)</f>
        <v>471.45</v>
      </c>
      <c r="E95" s="196">
        <f>SUM(E88:E94)</f>
        <v>138.16000000000003</v>
      </c>
      <c r="F95" s="196">
        <f t="shared" ref="F95" si="10">SUM(D95:E95)</f>
        <v>609.61</v>
      </c>
      <c r="G95" s="28"/>
      <c r="H95" s="28"/>
    </row>
    <row r="96" spans="1:8" x14ac:dyDescent="0.2">
      <c r="D96" s="34"/>
      <c r="E96" s="34"/>
      <c r="F96" s="34"/>
      <c r="G96" s="28"/>
      <c r="H96" s="28"/>
    </row>
    <row r="97" spans="1:8" x14ac:dyDescent="0.2">
      <c r="D97" s="34"/>
      <c r="E97" s="34"/>
      <c r="F97" s="34"/>
      <c r="G97" s="28"/>
      <c r="H97" s="28"/>
    </row>
    <row r="98" spans="1:8" x14ac:dyDescent="0.2">
      <c r="A98" t="s">
        <v>146</v>
      </c>
      <c r="D98" s="34">
        <v>214.44</v>
      </c>
      <c r="E98" s="34"/>
      <c r="F98" s="34"/>
      <c r="G98" s="28"/>
      <c r="H98" s="28"/>
    </row>
    <row r="99" spans="1:8" x14ac:dyDescent="0.2">
      <c r="D99" s="34">
        <v>1.75</v>
      </c>
      <c r="E99" s="34">
        <v>1.9</v>
      </c>
      <c r="F99" s="34"/>
      <c r="G99" s="28"/>
      <c r="H99" s="28"/>
    </row>
    <row r="100" spans="1:8" x14ac:dyDescent="0.2">
      <c r="D100" s="34">
        <v>1.75</v>
      </c>
      <c r="E100" s="34">
        <v>15.47</v>
      </c>
      <c r="F100" s="34"/>
      <c r="G100" s="28"/>
      <c r="H100" s="28"/>
    </row>
    <row r="101" spans="1:8" x14ac:dyDescent="0.2">
      <c r="D101" s="34">
        <v>1.75</v>
      </c>
      <c r="E101" s="34">
        <v>25.35</v>
      </c>
      <c r="F101" s="34"/>
      <c r="G101" s="28"/>
      <c r="H101" s="28"/>
    </row>
    <row r="102" spans="1:8" x14ac:dyDescent="0.2">
      <c r="D102" s="34">
        <v>1.75</v>
      </c>
      <c r="E102" s="34">
        <v>18.010000000000002</v>
      </c>
      <c r="F102" s="34"/>
      <c r="G102" s="28"/>
      <c r="H102" s="28"/>
    </row>
    <row r="103" spans="1:8" x14ac:dyDescent="0.2">
      <c r="D103" s="34">
        <v>1.75</v>
      </c>
      <c r="E103" s="34">
        <v>30.5</v>
      </c>
      <c r="F103" s="34"/>
      <c r="G103" s="28"/>
      <c r="H103" s="28"/>
    </row>
    <row r="104" spans="1:8" x14ac:dyDescent="0.2">
      <c r="D104" s="34">
        <v>1.75</v>
      </c>
      <c r="E104" s="34"/>
      <c r="F104" s="34"/>
      <c r="G104" s="28"/>
      <c r="H104" s="28"/>
    </row>
    <row r="105" spans="1:8" x14ac:dyDescent="0.2">
      <c r="D105" s="196">
        <f>SUM(D98:D104)</f>
        <v>224.94</v>
      </c>
      <c r="E105" s="196">
        <f>SUM(E98:E104)</f>
        <v>91.23</v>
      </c>
      <c r="F105" s="196">
        <f t="shared" ref="F105" si="11">SUM(D105:E105)</f>
        <v>316.17</v>
      </c>
      <c r="G105" s="28"/>
      <c r="H105" s="28"/>
    </row>
    <row r="106" spans="1:8" x14ac:dyDescent="0.2">
      <c r="D106" s="195"/>
      <c r="E106" s="195"/>
      <c r="F106" s="195"/>
      <c r="G106" s="28"/>
      <c r="H106" s="28"/>
    </row>
    <row r="107" spans="1:8" ht="13.5" customHeight="1" x14ac:dyDescent="0.2">
      <c r="D107" s="202">
        <f>SUM(D49+D58+D65+D75+D85+D95+D105)</f>
        <v>110993.65999999999</v>
      </c>
      <c r="E107" s="202">
        <f>SUM(E49+E58+E65+E75+E85+E95+E105)</f>
        <v>36437.37000000001</v>
      </c>
      <c r="F107" s="202">
        <f>SUM(F49+F58+F65+F75+F85+F95+F105)</f>
        <v>147431.02999999997</v>
      </c>
      <c r="G107" s="28"/>
      <c r="H107" s="28"/>
    </row>
    <row r="108" spans="1:8" x14ac:dyDescent="0.2">
      <c r="A108" s="17"/>
      <c r="B108" s="17"/>
      <c r="C108" s="17"/>
      <c r="D108" s="34"/>
      <c r="E108" s="34"/>
      <c r="F108" s="34"/>
      <c r="G108" s="28"/>
      <c r="H108" s="28"/>
    </row>
    <row r="109" spans="1:8" x14ac:dyDescent="0.2">
      <c r="C109">
        <v>2014</v>
      </c>
      <c r="D109" s="34"/>
      <c r="E109" s="34"/>
      <c r="F109" s="34"/>
      <c r="G109" s="28"/>
      <c r="H109" s="28"/>
    </row>
    <row r="110" spans="1:8" x14ac:dyDescent="0.2">
      <c r="D110" s="34"/>
      <c r="E110" s="34"/>
      <c r="F110" s="34"/>
      <c r="G110" s="28"/>
      <c r="H110" s="28"/>
    </row>
    <row r="111" spans="1:8" x14ac:dyDescent="0.2">
      <c r="A111" t="s">
        <v>147</v>
      </c>
      <c r="D111" s="197">
        <v>85174.7</v>
      </c>
      <c r="E111" s="197">
        <v>18485.89</v>
      </c>
      <c r="F111" s="197">
        <f>SUM(D111:E111)</f>
        <v>103660.59</v>
      </c>
      <c r="G111" s="28"/>
      <c r="H111" s="28"/>
    </row>
    <row r="112" spans="1:8" x14ac:dyDescent="0.2">
      <c r="D112" s="34"/>
      <c r="E112" s="34"/>
      <c r="F112" s="195">
        <f t="shared" ref="F112:F124" si="12">SUM(D112:E112)</f>
        <v>0</v>
      </c>
      <c r="G112" s="28"/>
      <c r="H112" s="28"/>
    </row>
    <row r="113" spans="1:8" x14ac:dyDescent="0.2">
      <c r="A113" t="s">
        <v>141</v>
      </c>
      <c r="D113" s="156">
        <v>17153.439999999999</v>
      </c>
      <c r="E113" s="156">
        <v>3758.57</v>
      </c>
      <c r="F113" s="196">
        <f t="shared" si="12"/>
        <v>20912.009999999998</v>
      </c>
      <c r="G113" s="28"/>
      <c r="H113" s="28"/>
    </row>
    <row r="114" spans="1:8" x14ac:dyDescent="0.2">
      <c r="D114" s="34"/>
      <c r="E114" s="34"/>
      <c r="F114" s="195">
        <f t="shared" si="12"/>
        <v>0</v>
      </c>
      <c r="G114" s="28"/>
      <c r="H114" s="28"/>
    </row>
    <row r="115" spans="1:8" x14ac:dyDescent="0.2">
      <c r="A115" t="s">
        <v>142</v>
      </c>
      <c r="D115" s="156">
        <v>105.81</v>
      </c>
      <c r="E115" s="156">
        <v>30.72</v>
      </c>
      <c r="F115" s="196">
        <f t="shared" si="12"/>
        <v>136.53</v>
      </c>
      <c r="G115" s="28"/>
      <c r="H115" s="28"/>
    </row>
    <row r="116" spans="1:8" x14ac:dyDescent="0.2">
      <c r="D116" s="34"/>
      <c r="E116" s="34"/>
      <c r="F116" s="195">
        <f t="shared" si="12"/>
        <v>0</v>
      </c>
      <c r="G116" s="28"/>
      <c r="H116" s="28"/>
    </row>
    <row r="117" spans="1:8" x14ac:dyDescent="0.2">
      <c r="A117" t="s">
        <v>143</v>
      </c>
      <c r="D117" s="156">
        <v>6371.18</v>
      </c>
      <c r="E117" s="156">
        <v>1418.01</v>
      </c>
      <c r="F117" s="196">
        <f t="shared" si="12"/>
        <v>7789.1900000000005</v>
      </c>
      <c r="G117" s="28"/>
      <c r="H117" s="28"/>
    </row>
    <row r="118" spans="1:8" x14ac:dyDescent="0.2">
      <c r="D118" s="34"/>
      <c r="E118" s="34"/>
      <c r="F118" s="195">
        <f t="shared" si="12"/>
        <v>0</v>
      </c>
      <c r="G118" s="28"/>
      <c r="H118" s="28"/>
    </row>
    <row r="119" spans="1:8" x14ac:dyDescent="0.2">
      <c r="A119" t="s">
        <v>144</v>
      </c>
      <c r="D119" s="156">
        <v>9275.5300000000007</v>
      </c>
      <c r="E119" s="156">
        <v>2068.4499999999998</v>
      </c>
      <c r="F119" s="196">
        <f t="shared" si="12"/>
        <v>11343.98</v>
      </c>
      <c r="G119" s="28"/>
      <c r="H119" s="28"/>
    </row>
    <row r="120" spans="1:8" x14ac:dyDescent="0.2">
      <c r="D120" s="34"/>
      <c r="E120" s="34"/>
      <c r="F120" s="195">
        <f t="shared" si="12"/>
        <v>0</v>
      </c>
      <c r="G120" s="28"/>
      <c r="H120" s="28"/>
    </row>
    <row r="121" spans="1:8" x14ac:dyDescent="0.2">
      <c r="A121" t="s">
        <v>145</v>
      </c>
      <c r="D121" s="156">
        <v>485.51</v>
      </c>
      <c r="E121" s="156">
        <v>103.98</v>
      </c>
      <c r="F121" s="196">
        <f t="shared" si="12"/>
        <v>589.49</v>
      </c>
      <c r="G121" s="28"/>
      <c r="H121" s="28"/>
    </row>
    <row r="122" spans="1:8" x14ac:dyDescent="0.2">
      <c r="D122" s="34"/>
      <c r="E122" s="34"/>
      <c r="F122" s="195">
        <f t="shared" si="12"/>
        <v>0</v>
      </c>
      <c r="G122" s="28"/>
      <c r="H122" s="28"/>
    </row>
    <row r="123" spans="1:8" x14ac:dyDescent="0.2">
      <c r="A123" t="s">
        <v>146</v>
      </c>
      <c r="D123" s="156">
        <v>553.82000000000005</v>
      </c>
      <c r="E123" s="156">
        <v>129.97999999999999</v>
      </c>
      <c r="F123" s="196">
        <f t="shared" si="12"/>
        <v>683.80000000000007</v>
      </c>
      <c r="G123" s="28"/>
      <c r="H123" s="28"/>
    </row>
    <row r="124" spans="1:8" x14ac:dyDescent="0.2">
      <c r="D124" s="34"/>
      <c r="E124" s="34"/>
      <c r="F124" s="195">
        <f t="shared" si="12"/>
        <v>0</v>
      </c>
      <c r="G124" s="28"/>
      <c r="H124" s="28"/>
    </row>
    <row r="125" spans="1:8" x14ac:dyDescent="0.2">
      <c r="B125" t="s">
        <v>148</v>
      </c>
      <c r="D125" s="202">
        <f>SUM(D111:D124)</f>
        <v>119119.99</v>
      </c>
      <c r="E125" s="202">
        <f t="shared" ref="E125:F125" si="13">SUM(E111:E124)</f>
        <v>25995.599999999999</v>
      </c>
      <c r="F125" s="202">
        <f t="shared" si="13"/>
        <v>145115.58999999997</v>
      </c>
      <c r="G125" s="28"/>
      <c r="H125" s="28"/>
    </row>
    <row r="126" spans="1:8" x14ac:dyDescent="0.2">
      <c r="D126" s="34"/>
      <c r="E126" s="34"/>
      <c r="F126" s="34"/>
      <c r="G126" s="28"/>
      <c r="H126" s="28"/>
    </row>
    <row r="127" spans="1:8" x14ac:dyDescent="0.2">
      <c r="D127" s="198">
        <f t="shared" ref="D127:E127" si="14">SUM(D107+D125)</f>
        <v>230113.65</v>
      </c>
      <c r="E127" s="198">
        <f t="shared" si="14"/>
        <v>62432.970000000008</v>
      </c>
      <c r="F127" s="198">
        <f>SUM(F107+F125)</f>
        <v>292546.61999999994</v>
      </c>
      <c r="G127" s="28"/>
      <c r="H127" s="28"/>
    </row>
    <row r="128" spans="1:8" x14ac:dyDescent="0.2">
      <c r="D128" s="34"/>
      <c r="E128" s="34"/>
      <c r="F128" s="34"/>
      <c r="G128" s="28"/>
      <c r="H128" s="28"/>
    </row>
    <row r="129" spans="4:8" x14ac:dyDescent="0.2">
      <c r="D129" s="34"/>
      <c r="E129" s="34"/>
      <c r="F129" s="34"/>
      <c r="G129" s="28"/>
      <c r="H129" s="28"/>
    </row>
    <row r="130" spans="4:8" x14ac:dyDescent="0.2">
      <c r="D130" s="34"/>
      <c r="E130" s="34"/>
      <c r="F130" s="34"/>
      <c r="G130" s="28"/>
      <c r="H130" s="28"/>
    </row>
    <row r="131" spans="4:8" x14ac:dyDescent="0.2">
      <c r="D131" s="28"/>
      <c r="E131" s="28"/>
      <c r="F131" s="28"/>
      <c r="G131" s="28"/>
      <c r="H131" s="28"/>
    </row>
    <row r="132" spans="4:8" x14ac:dyDescent="0.2">
      <c r="D132" s="28"/>
      <c r="E132" s="28"/>
      <c r="F132" s="28"/>
      <c r="G132" s="28"/>
      <c r="H132" s="28"/>
    </row>
    <row r="133" spans="4:8" x14ac:dyDescent="0.2">
      <c r="D133" s="28"/>
      <c r="E133" s="28"/>
      <c r="F133" s="28"/>
      <c r="G133" s="28"/>
      <c r="H133" s="28"/>
    </row>
    <row r="134" spans="4:8" x14ac:dyDescent="0.2">
      <c r="D134" s="28"/>
      <c r="E134" s="28"/>
      <c r="F134" s="28"/>
      <c r="G134" s="28"/>
      <c r="H134" s="28"/>
    </row>
    <row r="135" spans="4:8" x14ac:dyDescent="0.2">
      <c r="D135" s="28"/>
      <c r="E135" s="28"/>
      <c r="F135" s="28"/>
      <c r="G135" s="28"/>
      <c r="H135" s="28"/>
    </row>
    <row r="136" spans="4:8" x14ac:dyDescent="0.2">
      <c r="D136" s="28"/>
      <c r="E136" s="28"/>
      <c r="F136" s="28"/>
      <c r="G136" s="28"/>
      <c r="H136" s="28"/>
    </row>
    <row r="137" spans="4:8" x14ac:dyDescent="0.2">
      <c r="D137" s="28"/>
      <c r="E137" s="28"/>
      <c r="F137" s="28"/>
      <c r="G137" s="28"/>
      <c r="H137" s="28"/>
    </row>
    <row r="138" spans="4:8" x14ac:dyDescent="0.2">
      <c r="D138" s="28"/>
      <c r="E138" s="28"/>
      <c r="F138" s="28"/>
      <c r="G138" s="28"/>
      <c r="H138" s="28"/>
    </row>
    <row r="139" spans="4:8" x14ac:dyDescent="0.2">
      <c r="D139" s="28"/>
      <c r="E139" s="28"/>
      <c r="F139" s="28"/>
      <c r="G139" s="28"/>
      <c r="H139" s="28"/>
    </row>
  </sheetData>
  <mergeCells count="2">
    <mergeCell ref="A36:C36"/>
    <mergeCell ref="H24:I24"/>
  </mergeCells>
  <phoneticPr fontId="0" type="noConversion"/>
  <pageMargins left="0.25" right="0.25" top="0.75" bottom="0.75" header="0.3" footer="0.3"/>
  <pageSetup fitToHeight="0" orientation="landscape" r:id="rId1"/>
  <headerFooter alignWithMargins="0">
    <oddFooter xml:space="preserve">&amp;L&amp;F&amp;R&amp;8Prepared by Mike Escaname 
Health &amp; Human Services Dept. 
05/09/14&amp;9 
&amp;10 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3" sqref="A3:G21"/>
    </sheetView>
  </sheetViews>
  <sheetFormatPr defaultRowHeight="12.75" x14ac:dyDescent="0.2"/>
  <cols>
    <col min="2" max="3" width="10.140625" bestFit="1" customWidth="1"/>
    <col min="5" max="5" width="10.140625" customWidth="1"/>
  </cols>
  <sheetData>
    <row r="1" spans="1:5" x14ac:dyDescent="0.2">
      <c r="A1" s="1" t="s">
        <v>113</v>
      </c>
    </row>
    <row r="2" spans="1:5" x14ac:dyDescent="0.2">
      <c r="E2" t="s">
        <v>114</v>
      </c>
    </row>
    <row r="3" spans="1:5" x14ac:dyDescent="0.2">
      <c r="A3">
        <v>1</v>
      </c>
      <c r="B3" s="25">
        <v>41624</v>
      </c>
      <c r="C3" s="25">
        <v>41637</v>
      </c>
      <c r="E3" s="25">
        <v>41649</v>
      </c>
    </row>
    <row r="4" spans="1:5" x14ac:dyDescent="0.2">
      <c r="A4">
        <v>2</v>
      </c>
      <c r="B4" s="25">
        <v>41638</v>
      </c>
      <c r="C4" s="25">
        <v>41651</v>
      </c>
      <c r="E4" s="25">
        <v>41663</v>
      </c>
    </row>
    <row r="5" spans="1:5" x14ac:dyDescent="0.2">
      <c r="A5">
        <v>3</v>
      </c>
      <c r="B5" s="25">
        <v>41652</v>
      </c>
      <c r="C5" s="25">
        <v>41665</v>
      </c>
      <c r="E5" s="25">
        <v>41677</v>
      </c>
    </row>
    <row r="6" spans="1:5" x14ac:dyDescent="0.2">
      <c r="A6">
        <v>4</v>
      </c>
      <c r="B6" s="25">
        <v>41666</v>
      </c>
      <c r="C6" s="25">
        <v>41679</v>
      </c>
      <c r="E6" s="25">
        <v>41691</v>
      </c>
    </row>
    <row r="7" spans="1:5" x14ac:dyDescent="0.2">
      <c r="A7">
        <v>5</v>
      </c>
      <c r="B7" s="25">
        <v>41680</v>
      </c>
      <c r="C7" s="25">
        <v>41693</v>
      </c>
      <c r="E7" s="25">
        <v>41705</v>
      </c>
    </row>
    <row r="8" spans="1:5" x14ac:dyDescent="0.2">
      <c r="A8">
        <v>6</v>
      </c>
      <c r="B8" s="25">
        <v>41694</v>
      </c>
      <c r="C8" s="25">
        <v>41707</v>
      </c>
      <c r="E8" s="25">
        <v>41719</v>
      </c>
    </row>
    <row r="9" spans="1:5" x14ac:dyDescent="0.2">
      <c r="A9">
        <v>7</v>
      </c>
      <c r="B9" s="25">
        <v>41708</v>
      </c>
      <c r="C9" s="25">
        <v>41721</v>
      </c>
      <c r="E9" s="25">
        <v>41733</v>
      </c>
    </row>
    <row r="10" spans="1:5" x14ac:dyDescent="0.2">
      <c r="A10">
        <v>8</v>
      </c>
      <c r="B10" s="25">
        <v>41722</v>
      </c>
      <c r="C10" s="25">
        <v>41735</v>
      </c>
      <c r="E10" s="25">
        <v>41747</v>
      </c>
    </row>
    <row r="11" spans="1:5" x14ac:dyDescent="0.2">
      <c r="A11">
        <v>9</v>
      </c>
      <c r="B11" s="25">
        <v>41736</v>
      </c>
      <c r="C11" s="25">
        <v>41749</v>
      </c>
      <c r="E11" s="25">
        <v>41761</v>
      </c>
    </row>
    <row r="12" spans="1:5" x14ac:dyDescent="0.2">
      <c r="A12">
        <v>10</v>
      </c>
      <c r="B12" s="25">
        <v>41750</v>
      </c>
      <c r="C12" s="25">
        <v>41763</v>
      </c>
      <c r="E12" s="25">
        <v>41775</v>
      </c>
    </row>
    <row r="13" spans="1:5" x14ac:dyDescent="0.2">
      <c r="A13">
        <v>11</v>
      </c>
      <c r="B13" s="25">
        <v>41764</v>
      </c>
      <c r="C13" s="25">
        <v>41777</v>
      </c>
      <c r="E13" s="25">
        <v>41789</v>
      </c>
    </row>
    <row r="14" spans="1:5" x14ac:dyDescent="0.2">
      <c r="A14">
        <v>12</v>
      </c>
      <c r="B14" s="25">
        <v>41778</v>
      </c>
      <c r="C14" s="25">
        <v>41791</v>
      </c>
      <c r="E14" s="25">
        <v>41803</v>
      </c>
    </row>
    <row r="15" spans="1:5" x14ac:dyDescent="0.2">
      <c r="A15">
        <v>13</v>
      </c>
      <c r="B15" s="25">
        <v>41792</v>
      </c>
      <c r="C15" s="25">
        <v>41805</v>
      </c>
      <c r="E15" s="25">
        <v>41817</v>
      </c>
    </row>
    <row r="16" spans="1:5" x14ac:dyDescent="0.2">
      <c r="A16">
        <v>14</v>
      </c>
      <c r="B16" s="25">
        <v>41806</v>
      </c>
      <c r="C16" s="25">
        <v>41819</v>
      </c>
      <c r="E16" s="25">
        <v>41831</v>
      </c>
    </row>
    <row r="17" spans="1:6" x14ac:dyDescent="0.2">
      <c r="A17">
        <v>15</v>
      </c>
      <c r="B17" s="25">
        <v>41820</v>
      </c>
      <c r="C17" s="25">
        <v>41833</v>
      </c>
      <c r="E17" s="25">
        <v>41845</v>
      </c>
    </row>
    <row r="18" spans="1:6" x14ac:dyDescent="0.2">
      <c r="A18">
        <v>16</v>
      </c>
      <c r="B18" s="25">
        <v>41834</v>
      </c>
      <c r="C18" s="25">
        <v>41847</v>
      </c>
      <c r="E18" s="25">
        <v>41859</v>
      </c>
    </row>
    <row r="19" spans="1:6" x14ac:dyDescent="0.2">
      <c r="A19">
        <v>17</v>
      </c>
      <c r="B19" s="25">
        <v>41848</v>
      </c>
      <c r="C19" s="25">
        <v>41861</v>
      </c>
      <c r="E19" s="25">
        <v>41873</v>
      </c>
    </row>
    <row r="20" spans="1:6" x14ac:dyDescent="0.2">
      <c r="A20">
        <v>18</v>
      </c>
      <c r="B20" s="25">
        <v>41862</v>
      </c>
      <c r="C20" s="25">
        <v>41875</v>
      </c>
      <c r="E20" s="25">
        <v>41887</v>
      </c>
    </row>
    <row r="21" spans="1:6" x14ac:dyDescent="0.2">
      <c r="A21">
        <v>19</v>
      </c>
      <c r="B21" s="25">
        <v>41876</v>
      </c>
      <c r="C21" s="25">
        <v>41880</v>
      </c>
      <c r="E21" s="25">
        <v>41901</v>
      </c>
      <c r="F2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Budget Analysis 070912</vt:lpstr>
      <vt:lpstr>TB CONTRL FY 12 SAL PROJ 070912</vt:lpstr>
      <vt:lpstr>Budget Analysis</vt:lpstr>
      <vt:lpstr>TB ELIMINATION FY 14 SAL PROJ </vt:lpstr>
      <vt:lpstr>Sheet1</vt:lpstr>
      <vt:lpstr>'Budget Analysis'!Print_Area</vt:lpstr>
      <vt:lpstr>'Budget Analysis 070912'!Print_Area</vt:lpstr>
      <vt:lpstr>'TB ELIMINATION FY 14 SAL PROJ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mike.escaname</dc:creator>
  <cp:lastModifiedBy>Miguel Escaname</cp:lastModifiedBy>
  <cp:lastPrinted>2014-05-09T20:28:13Z</cp:lastPrinted>
  <dcterms:created xsi:type="dcterms:W3CDTF">2010-04-21T19:38:26Z</dcterms:created>
  <dcterms:modified xsi:type="dcterms:W3CDTF">2014-05-09T20:45:38Z</dcterms:modified>
</cp:coreProperties>
</file>