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15" windowWidth="15480" windowHeight="11640" firstSheet="2" activeTab="3"/>
  </bookViews>
  <sheets>
    <sheet name="Budget Analysis 070912" sheetId="9" r:id="rId1"/>
    <sheet name="TB CONTRL FY 12 SAL PROJ 070912" sheetId="10" r:id="rId2"/>
    <sheet name="Budget Analysis" sheetId="5" r:id="rId3"/>
    <sheet name="TB CONTROL FY 14 SAL PROJ " sheetId="3" r:id="rId4"/>
    <sheet name="Sheet1" sheetId="11" r:id="rId5"/>
  </sheets>
  <definedNames>
    <definedName name="_xlnm.Print_Area" localSheetId="2">'Budget Analysis'!$A$1:$P$47</definedName>
    <definedName name="_xlnm.Print_Area" localSheetId="0">'Budget Analysis 070912'!$A$1:$O$50</definedName>
  </definedNames>
  <calcPr calcId="145621"/>
</workbook>
</file>

<file path=xl/calcChain.xml><?xml version="1.0" encoding="utf-8"?>
<calcChain xmlns="http://schemas.openxmlformats.org/spreadsheetml/2006/main">
  <c r="F96" i="3" l="1"/>
  <c r="D96" i="3"/>
  <c r="D91" i="3"/>
  <c r="F91" i="3" s="1"/>
  <c r="F86" i="3"/>
  <c r="D86" i="3"/>
  <c r="D81" i="3"/>
  <c r="F81" i="3" s="1"/>
  <c r="D66" i="3"/>
  <c r="F66" i="3" s="1"/>
  <c r="M36" i="5" l="1"/>
  <c r="H57" i="5" l="1"/>
  <c r="I57" i="5"/>
  <c r="J57" i="5"/>
  <c r="K57" i="5"/>
  <c r="M57" i="5"/>
  <c r="G52" i="5"/>
  <c r="G53" i="5"/>
  <c r="G54" i="5"/>
  <c r="G55" i="5"/>
  <c r="G51" i="5"/>
  <c r="O51" i="5" s="1"/>
  <c r="N53" i="5"/>
  <c r="O53" i="5" s="1"/>
  <c r="N54" i="5"/>
  <c r="N55" i="5"/>
  <c r="O55" i="5" s="1"/>
  <c r="N51" i="5"/>
  <c r="L52" i="5"/>
  <c r="L57" i="5" s="1"/>
  <c r="L16" i="5"/>
  <c r="L25" i="5"/>
  <c r="N25" i="5" s="1"/>
  <c r="H31" i="5"/>
  <c r="I24" i="5"/>
  <c r="I28" i="5"/>
  <c r="I31" i="5"/>
  <c r="I32" i="5"/>
  <c r="I33" i="5"/>
  <c r="I34" i="5"/>
  <c r="N24" i="5"/>
  <c r="N26" i="5"/>
  <c r="N27" i="5"/>
  <c r="N28" i="5"/>
  <c r="N29" i="5"/>
  <c r="N31" i="5"/>
  <c r="N32" i="5"/>
  <c r="N33" i="5"/>
  <c r="N34" i="5"/>
  <c r="O28" i="5"/>
  <c r="O31" i="5"/>
  <c r="O32" i="5"/>
  <c r="O34" i="5"/>
  <c r="H26" i="5"/>
  <c r="I26" i="5" s="1"/>
  <c r="H30" i="5"/>
  <c r="N57" i="5" l="1"/>
  <c r="O52" i="5"/>
  <c r="O57" i="5" s="1"/>
  <c r="O26" i="5"/>
  <c r="O54" i="5"/>
  <c r="N52" i="5"/>
  <c r="G57" i="5"/>
  <c r="H23" i="5"/>
  <c r="H36" i="5" s="1"/>
  <c r="H8" i="5"/>
  <c r="H5" i="5"/>
  <c r="O33" i="5" l="1"/>
  <c r="F57" i="5"/>
  <c r="O24" i="5"/>
  <c r="M23" i="5"/>
  <c r="L23" i="5"/>
  <c r="M30" i="5"/>
  <c r="L30" i="5"/>
  <c r="N30" i="5" s="1"/>
  <c r="N43" i="5" l="1"/>
  <c r="N41" i="5"/>
  <c r="N35" i="5"/>
  <c r="N23" i="5"/>
  <c r="L17" i="5"/>
  <c r="N17" i="5" s="1"/>
  <c r="N16" i="5"/>
  <c r="L42" i="5"/>
  <c r="N42" i="5" s="1"/>
  <c r="G104" i="5"/>
  <c r="H103" i="5"/>
  <c r="H102" i="5"/>
  <c r="G101" i="5"/>
  <c r="K13" i="5" s="1"/>
  <c r="H100" i="5"/>
  <c r="F99" i="5"/>
  <c r="F101" i="5" s="1"/>
  <c r="H98" i="5"/>
  <c r="H97" i="5"/>
  <c r="G96" i="5"/>
  <c r="K12" i="5" s="1"/>
  <c r="H95" i="5"/>
  <c r="F94" i="5"/>
  <c r="F96" i="5" s="1"/>
  <c r="H93" i="5"/>
  <c r="H92" i="5"/>
  <c r="G91" i="5"/>
  <c r="K11" i="5" s="1"/>
  <c r="H90" i="5"/>
  <c r="F89" i="5"/>
  <c r="F91" i="5" s="1"/>
  <c r="H88" i="5"/>
  <c r="H87" i="5"/>
  <c r="G86" i="5"/>
  <c r="K10" i="5" s="1"/>
  <c r="H85" i="5"/>
  <c r="F84" i="5"/>
  <c r="F86" i="5" s="1"/>
  <c r="H83" i="5"/>
  <c r="H82" i="5"/>
  <c r="G81" i="5"/>
  <c r="K9" i="5" s="1"/>
  <c r="H80" i="5"/>
  <c r="F79" i="5"/>
  <c r="F81" i="5" s="1"/>
  <c r="H78" i="5"/>
  <c r="H77" i="5"/>
  <c r="G76" i="5"/>
  <c r="K8" i="5" s="1"/>
  <c r="H75" i="5"/>
  <c r="F74" i="5"/>
  <c r="F76" i="5" s="1"/>
  <c r="H73" i="5"/>
  <c r="H72" i="5"/>
  <c r="G71" i="5"/>
  <c r="K5" i="5" s="1"/>
  <c r="H70" i="5"/>
  <c r="F69" i="5"/>
  <c r="F71" i="5" s="1"/>
  <c r="J5" i="5" s="1"/>
  <c r="H13" i="5"/>
  <c r="H69" i="5" l="1"/>
  <c r="H79" i="5"/>
  <c r="H89" i="5"/>
  <c r="H99" i="5"/>
  <c r="L44" i="5"/>
  <c r="H101" i="5"/>
  <c r="H91" i="5"/>
  <c r="H81" i="5"/>
  <c r="N36" i="5"/>
  <c r="L36" i="5"/>
  <c r="L18" i="5"/>
  <c r="H76" i="5"/>
  <c r="J8" i="5"/>
  <c r="H86" i="5"/>
  <c r="J10" i="5"/>
  <c r="H96" i="5"/>
  <c r="J12" i="5"/>
  <c r="F104" i="5"/>
  <c r="H104" i="5" s="1"/>
  <c r="H74" i="5"/>
  <c r="H84" i="5"/>
  <c r="H94" i="5"/>
  <c r="J9" i="5"/>
  <c r="J11" i="5"/>
  <c r="J13" i="5"/>
  <c r="H71" i="5"/>
  <c r="D76" i="3"/>
  <c r="D78" i="3" s="1"/>
  <c r="D71" i="3"/>
  <c r="E101" i="3"/>
  <c r="F100" i="3"/>
  <c r="F99" i="3"/>
  <c r="E98" i="3"/>
  <c r="D98" i="3"/>
  <c r="F97" i="3"/>
  <c r="F95" i="3"/>
  <c r="F94" i="3"/>
  <c r="E93" i="3"/>
  <c r="D93" i="3"/>
  <c r="F92" i="3"/>
  <c r="F90" i="3"/>
  <c r="F89" i="3"/>
  <c r="E88" i="3"/>
  <c r="D88" i="3"/>
  <c r="F87" i="3"/>
  <c r="F85" i="3"/>
  <c r="F84" i="3"/>
  <c r="E83" i="3"/>
  <c r="D83" i="3"/>
  <c r="F83" i="3" s="1"/>
  <c r="F82" i="3"/>
  <c r="F80" i="3"/>
  <c r="F79" i="3"/>
  <c r="E78" i="3"/>
  <c r="F77" i="3"/>
  <c r="F75" i="3"/>
  <c r="F74" i="3"/>
  <c r="E73" i="3"/>
  <c r="D73" i="3"/>
  <c r="F72" i="3"/>
  <c r="F71" i="3"/>
  <c r="F70" i="3"/>
  <c r="F69" i="3"/>
  <c r="E68" i="3"/>
  <c r="D68" i="3"/>
  <c r="F67" i="3"/>
  <c r="D101" i="3" l="1"/>
  <c r="F101" i="3" s="1"/>
  <c r="F93" i="3"/>
  <c r="F73" i="3"/>
  <c r="F98" i="3"/>
  <c r="F88" i="3"/>
  <c r="F78" i="3"/>
  <c r="F76" i="3"/>
  <c r="F68" i="3"/>
  <c r="L10" i="5" l="1"/>
  <c r="L9" i="5"/>
  <c r="L11" i="5"/>
  <c r="L12" i="5"/>
  <c r="L13" i="5"/>
  <c r="L8" i="5"/>
  <c r="L5" i="5"/>
  <c r="L6" i="5" s="1"/>
  <c r="L14" i="5" l="1"/>
  <c r="L47" i="5" s="1"/>
  <c r="D14" i="3"/>
  <c r="I15" i="3" l="1"/>
  <c r="I16" i="3"/>
  <c r="I17" i="3"/>
  <c r="I18" i="3"/>
  <c r="I14" i="3"/>
  <c r="I11" i="3"/>
  <c r="H18" i="5" l="1"/>
  <c r="H14" i="5"/>
  <c r="H6" i="5"/>
  <c r="F63" i="5" s="1"/>
  <c r="E30" i="5"/>
  <c r="G30" i="5" s="1"/>
  <c r="G39" i="5"/>
  <c r="G27" i="5"/>
  <c r="G29" i="5"/>
  <c r="D36" i="5"/>
  <c r="F36" i="5"/>
  <c r="E35" i="5"/>
  <c r="G35" i="5" s="1"/>
  <c r="C36" i="5"/>
  <c r="E17" i="5"/>
  <c r="G17" i="5" s="1"/>
  <c r="E16" i="5"/>
  <c r="G16" i="5" s="1"/>
  <c r="O16" i="5" s="1"/>
  <c r="E42" i="5"/>
  <c r="G42" i="5" s="1"/>
  <c r="E43" i="5"/>
  <c r="G43" i="5" s="1"/>
  <c r="E41" i="5"/>
  <c r="G41" i="5" s="1"/>
  <c r="E25" i="5"/>
  <c r="G25" i="5" s="1"/>
  <c r="I25" i="5" s="1"/>
  <c r="E23" i="5"/>
  <c r="G23" i="5" s="1"/>
  <c r="I29" i="5" l="1"/>
  <c r="O29" i="5"/>
  <c r="I35" i="5"/>
  <c r="O35" i="5"/>
  <c r="I27" i="5"/>
  <c r="O27" i="5"/>
  <c r="O30" i="5"/>
  <c r="I30" i="5"/>
  <c r="I42" i="5"/>
  <c r="O42" i="5"/>
  <c r="I43" i="5"/>
  <c r="O43" i="5"/>
  <c r="I41" i="5"/>
  <c r="O41" i="5"/>
  <c r="I23" i="5"/>
  <c r="O23" i="5"/>
  <c r="I17" i="5"/>
  <c r="O17" i="5"/>
  <c r="O25" i="5"/>
  <c r="G18" i="5"/>
  <c r="I16" i="5"/>
  <c r="G44" i="5"/>
  <c r="G36" i="5"/>
  <c r="E36" i="5"/>
  <c r="D13" i="5"/>
  <c r="D14" i="5" s="1"/>
  <c r="C13" i="5"/>
  <c r="I19" i="3" s="1"/>
  <c r="E9" i="5"/>
  <c r="G9" i="5" s="1"/>
  <c r="I9" i="5" s="1"/>
  <c r="E10" i="5"/>
  <c r="G10" i="5" s="1"/>
  <c r="I10" i="5" s="1"/>
  <c r="E11" i="5"/>
  <c r="G11" i="5" s="1"/>
  <c r="I11" i="5" s="1"/>
  <c r="E12" i="5"/>
  <c r="G12" i="5" s="1"/>
  <c r="I12" i="5" s="1"/>
  <c r="E8" i="5"/>
  <c r="G8" i="5" s="1"/>
  <c r="I8" i="5" s="1"/>
  <c r="D6" i="5"/>
  <c r="E5" i="5"/>
  <c r="G5" i="5" s="1"/>
  <c r="I36" i="5" l="1"/>
  <c r="G6" i="5"/>
  <c r="I5" i="5"/>
  <c r="E13" i="5"/>
  <c r="G13" i="5" s="1"/>
  <c r="D47" i="5"/>
  <c r="D11" i="3"/>
  <c r="G14" i="5" l="1"/>
  <c r="G47" i="5" s="1"/>
  <c r="I13" i="5"/>
  <c r="E20" i="3"/>
  <c r="F20" i="3"/>
  <c r="H20" i="3"/>
  <c r="D12" i="3"/>
  <c r="E12" i="3"/>
  <c r="E22" i="3" s="1"/>
  <c r="F12" i="3"/>
  <c r="H12" i="3"/>
  <c r="H22" i="3" s="1"/>
  <c r="I20" i="3"/>
  <c r="D19" i="3"/>
  <c r="D18" i="3"/>
  <c r="J19" i="3"/>
  <c r="J18" i="3"/>
  <c r="J17" i="3"/>
  <c r="J16" i="3"/>
  <c r="J15" i="3"/>
  <c r="L15" i="3" s="1"/>
  <c r="J14" i="3"/>
  <c r="L14" i="3" s="1"/>
  <c r="J11" i="3"/>
  <c r="L11" i="3" s="1"/>
  <c r="I36" i="3"/>
  <c r="I37" i="3"/>
  <c r="I38" i="3"/>
  <c r="I39" i="3"/>
  <c r="I40" i="3"/>
  <c r="I41" i="3"/>
  <c r="I35" i="3"/>
  <c r="I12" i="3"/>
  <c r="I22" i="3" s="1"/>
  <c r="L16" i="3"/>
  <c r="L17" i="3"/>
  <c r="L18" i="3"/>
  <c r="L19" i="3"/>
  <c r="F22" i="3" l="1"/>
  <c r="D17" i="3"/>
  <c r="D16" i="3"/>
  <c r="D20" i="3" l="1"/>
  <c r="D22" i="3" s="1"/>
  <c r="G18" i="3"/>
  <c r="J20" i="3"/>
  <c r="J12" i="3"/>
  <c r="F44" i="5"/>
  <c r="H44" i="5"/>
  <c r="J44" i="5"/>
  <c r="M44" i="5"/>
  <c r="F39" i="5"/>
  <c r="F47" i="5" s="1"/>
  <c r="J36" i="5"/>
  <c r="M24" i="9"/>
  <c r="M23" i="9"/>
  <c r="I23" i="9"/>
  <c r="I31" i="9"/>
  <c r="I46" i="9"/>
  <c r="I33" i="9"/>
  <c r="N25" i="9"/>
  <c r="O25" i="9"/>
  <c r="I26" i="9"/>
  <c r="H26" i="9"/>
  <c r="I27" i="9"/>
  <c r="C31" i="9"/>
  <c r="H28" i="9"/>
  <c r="I28" i="9"/>
  <c r="L24" i="9"/>
  <c r="L26" i="9"/>
  <c r="L27" i="9"/>
  <c r="L28" i="9"/>
  <c r="N28" i="9"/>
  <c r="L29" i="9"/>
  <c r="N29" i="9"/>
  <c r="L30" i="9"/>
  <c r="N30" i="9"/>
  <c r="O30" i="9"/>
  <c r="G31" i="9"/>
  <c r="G46" i="9"/>
  <c r="O28" i="9"/>
  <c r="H42" i="9"/>
  <c r="H40" i="9"/>
  <c r="H38" i="9"/>
  <c r="H37" i="9"/>
  <c r="H36" i="9"/>
  <c r="H34" i="9"/>
  <c r="H29" i="9"/>
  <c r="H21" i="9"/>
  <c r="H17" i="9"/>
  <c r="H16" i="9"/>
  <c r="H12" i="9"/>
  <c r="H11" i="9"/>
  <c r="H10" i="9"/>
  <c r="H9" i="9"/>
  <c r="H8" i="9"/>
  <c r="I24" i="9"/>
  <c r="M5" i="9"/>
  <c r="M6" i="9"/>
  <c r="E25" i="10"/>
  <c r="E26" i="10"/>
  <c r="E27" i="10"/>
  <c r="E28" i="10"/>
  <c r="E29" i="10"/>
  <c r="E30" i="10"/>
  <c r="G21" i="10"/>
  <c r="D21" i="10"/>
  <c r="H18" i="10"/>
  <c r="F18" i="10"/>
  <c r="F17" i="10"/>
  <c r="H17" i="10"/>
  <c r="F16" i="10"/>
  <c r="M11" i="9"/>
  <c r="F15" i="10"/>
  <c r="H15" i="10"/>
  <c r="F14" i="10"/>
  <c r="H14" i="10"/>
  <c r="F13" i="10"/>
  <c r="M8" i="9"/>
  <c r="F10" i="10"/>
  <c r="H10" i="10"/>
  <c r="H11" i="10"/>
  <c r="M43" i="9"/>
  <c r="K43" i="9"/>
  <c r="J43" i="9"/>
  <c r="F43" i="9"/>
  <c r="C43" i="9"/>
  <c r="L42" i="9"/>
  <c r="N42" i="9"/>
  <c r="O42" i="9"/>
  <c r="E42" i="9"/>
  <c r="L41" i="9"/>
  <c r="N41" i="9"/>
  <c r="I41" i="9"/>
  <c r="H41" i="9"/>
  <c r="H43" i="9"/>
  <c r="E41" i="9"/>
  <c r="L40" i="9"/>
  <c r="N40" i="9"/>
  <c r="E40" i="9"/>
  <c r="I39" i="9"/>
  <c r="N38" i="9"/>
  <c r="O38" i="9"/>
  <c r="O43" i="9"/>
  <c r="O46" i="9"/>
  <c r="E38" i="9"/>
  <c r="O37" i="9"/>
  <c r="L36" i="9"/>
  <c r="K34" i="9"/>
  <c r="J34" i="9"/>
  <c r="L34" i="9"/>
  <c r="N34" i="9"/>
  <c r="F34" i="9"/>
  <c r="C34" i="9"/>
  <c r="E33" i="9"/>
  <c r="M31" i="9"/>
  <c r="M46" i="9"/>
  <c r="K31" i="9"/>
  <c r="J31" i="9"/>
  <c r="D31" i="9"/>
  <c r="D46" i="9"/>
  <c r="O29" i="9"/>
  <c r="N27" i="9"/>
  <c r="H27" i="9"/>
  <c r="N26" i="9"/>
  <c r="O26" i="9"/>
  <c r="N24" i="9"/>
  <c r="O24" i="9"/>
  <c r="E24" i="9"/>
  <c r="L23" i="9"/>
  <c r="E23" i="9"/>
  <c r="E31" i="9"/>
  <c r="F21" i="9"/>
  <c r="F46" i="9"/>
  <c r="N20" i="9"/>
  <c r="I20" i="9"/>
  <c r="I21" i="9"/>
  <c r="M18" i="9"/>
  <c r="K18" i="9"/>
  <c r="J18" i="9"/>
  <c r="I18" i="9"/>
  <c r="C18" i="9"/>
  <c r="L17" i="9"/>
  <c r="N17" i="9"/>
  <c r="L16" i="9"/>
  <c r="E16" i="9"/>
  <c r="E18" i="9"/>
  <c r="K14" i="9"/>
  <c r="J14" i="9"/>
  <c r="C14" i="9"/>
  <c r="L13" i="9"/>
  <c r="N13" i="9"/>
  <c r="O13" i="9"/>
  <c r="I13" i="9"/>
  <c r="I14" i="9"/>
  <c r="E13" i="9"/>
  <c r="L12" i="9"/>
  <c r="E12" i="9"/>
  <c r="L11" i="9"/>
  <c r="E11" i="9"/>
  <c r="L10" i="9"/>
  <c r="E10" i="9"/>
  <c r="L9" i="9"/>
  <c r="E9" i="9"/>
  <c r="L8" i="9"/>
  <c r="E8" i="9"/>
  <c r="K6" i="9"/>
  <c r="J6" i="9"/>
  <c r="J46" i="9"/>
  <c r="C6" i="9"/>
  <c r="C46" i="9"/>
  <c r="L5" i="9"/>
  <c r="L6" i="9"/>
  <c r="I5" i="9"/>
  <c r="I6" i="9"/>
  <c r="E5" i="9"/>
  <c r="E6" i="9"/>
  <c r="I20" i="5"/>
  <c r="I21" i="5" s="1"/>
  <c r="H39" i="5"/>
  <c r="I6" i="5"/>
  <c r="I18" i="5"/>
  <c r="I14" i="5"/>
  <c r="C44" i="5"/>
  <c r="C39" i="5"/>
  <c r="G11" i="3"/>
  <c r="K6" i="5"/>
  <c r="G14" i="3"/>
  <c r="G15" i="3"/>
  <c r="G16" i="3"/>
  <c r="M10" i="5" s="1"/>
  <c r="O10" i="5" s="1"/>
  <c r="G17" i="3"/>
  <c r="N20" i="5"/>
  <c r="O21" i="5" s="1"/>
  <c r="K41" i="5"/>
  <c r="K43" i="5"/>
  <c r="G19" i="3"/>
  <c r="K38" i="5"/>
  <c r="N38" i="5" s="1"/>
  <c r="J39" i="5"/>
  <c r="J6" i="5"/>
  <c r="J14" i="5"/>
  <c r="J18" i="5"/>
  <c r="M18" i="5"/>
  <c r="C6" i="5"/>
  <c r="C14" i="5"/>
  <c r="C18" i="5"/>
  <c r="E14" i="9"/>
  <c r="L18" i="9"/>
  <c r="L31" i="9"/>
  <c r="H5" i="9"/>
  <c r="H6" i="9"/>
  <c r="H13" i="9"/>
  <c r="O20" i="9"/>
  <c r="O21" i="9"/>
  <c r="H14" i="9"/>
  <c r="K46" i="9"/>
  <c r="N23" i="9"/>
  <c r="O23" i="9"/>
  <c r="O27" i="9"/>
  <c r="F21" i="10"/>
  <c r="J13" i="10"/>
  <c r="J14" i="10"/>
  <c r="J15" i="10"/>
  <c r="H13" i="10"/>
  <c r="L14" i="9"/>
  <c r="N16" i="9"/>
  <c r="N36" i="9"/>
  <c r="O36" i="9"/>
  <c r="N5" i="9"/>
  <c r="N6" i="9"/>
  <c r="I39" i="5"/>
  <c r="O16" i="9"/>
  <c r="N43" i="9"/>
  <c r="O40" i="9"/>
  <c r="E34" i="9"/>
  <c r="L43" i="9"/>
  <c r="E43" i="9"/>
  <c r="E46" i="9"/>
  <c r="I43" i="9"/>
  <c r="O39" i="9"/>
  <c r="O41" i="9"/>
  <c r="N8" i="9"/>
  <c r="O8" i="9"/>
  <c r="H18" i="9"/>
  <c r="M9" i="9"/>
  <c r="N9" i="9"/>
  <c r="M12" i="9"/>
  <c r="N12" i="9"/>
  <c r="O12" i="9"/>
  <c r="N11" i="9"/>
  <c r="O11" i="9"/>
  <c r="H16" i="10"/>
  <c r="H19" i="10"/>
  <c r="H21" i="10"/>
  <c r="M10" i="9"/>
  <c r="M14" i="9"/>
  <c r="O5" i="9"/>
  <c r="O6" i="9"/>
  <c r="L46" i="9"/>
  <c r="O17" i="9"/>
  <c r="O18" i="9"/>
  <c r="N18" i="9"/>
  <c r="N10" i="9"/>
  <c r="O10" i="9"/>
  <c r="O33" i="9"/>
  <c r="O34" i="9"/>
  <c r="I34" i="9"/>
  <c r="H31" i="9"/>
  <c r="H46" i="9"/>
  <c r="N14" i="9"/>
  <c r="O9" i="9"/>
  <c r="O14" i="9"/>
  <c r="N31" i="9"/>
  <c r="N46" i="9"/>
  <c r="O31" i="9"/>
  <c r="J22" i="3" l="1"/>
  <c r="N10" i="5"/>
  <c r="K19" i="3"/>
  <c r="M13" i="5"/>
  <c r="K18" i="3"/>
  <c r="M12" i="5"/>
  <c r="K17" i="3"/>
  <c r="M11" i="5"/>
  <c r="K15" i="3"/>
  <c r="M9" i="5"/>
  <c r="G12" i="3"/>
  <c r="M5" i="5"/>
  <c r="K14" i="3"/>
  <c r="M8" i="5"/>
  <c r="N14" i="3"/>
  <c r="N15" i="3" s="1"/>
  <c r="N16" i="3" s="1"/>
  <c r="K39" i="5"/>
  <c r="N39" i="5" s="1"/>
  <c r="K36" i="5"/>
  <c r="H47" i="5"/>
  <c r="K44" i="5"/>
  <c r="K14" i="5"/>
  <c r="N44" i="5"/>
  <c r="O39" i="5"/>
  <c r="K16" i="3"/>
  <c r="G20" i="3"/>
  <c r="L12" i="3"/>
  <c r="K11" i="3"/>
  <c r="K12" i="3" s="1"/>
  <c r="L20" i="3"/>
  <c r="C47" i="5"/>
  <c r="J47" i="5"/>
  <c r="K18" i="5"/>
  <c r="O18" i="5"/>
  <c r="N18" i="5"/>
  <c r="F64" i="5" l="1"/>
  <c r="F65" i="5"/>
  <c r="G22" i="3"/>
  <c r="L22" i="3"/>
  <c r="O13" i="5"/>
  <c r="N13" i="5"/>
  <c r="O12" i="5"/>
  <c r="N12" i="5"/>
  <c r="O11" i="5"/>
  <c r="N11" i="5"/>
  <c r="O9" i="5"/>
  <c r="N9" i="5"/>
  <c r="O5" i="5"/>
  <c r="O6" i="5" s="1"/>
  <c r="M6" i="5"/>
  <c r="N5" i="5"/>
  <c r="N6" i="5" s="1"/>
  <c r="K20" i="3"/>
  <c r="K22" i="3" s="1"/>
  <c r="O8" i="5"/>
  <c r="O14" i="5" s="1"/>
  <c r="N8" i="5"/>
  <c r="N14" i="5" s="1"/>
  <c r="M14" i="5"/>
  <c r="K47" i="5"/>
  <c r="O36" i="5"/>
  <c r="M47" i="5" l="1"/>
  <c r="N47" i="5"/>
  <c r="E6" i="5"/>
  <c r="E14" i="5"/>
  <c r="E18" i="5"/>
  <c r="E39" i="5"/>
  <c r="O44" i="5"/>
  <c r="O47" i="5" s="1"/>
  <c r="E44" i="5"/>
  <c r="E47" i="5" l="1"/>
  <c r="I44" i="5"/>
  <c r="I47" i="5" s="1"/>
</calcChain>
</file>

<file path=xl/comments1.xml><?xml version="1.0" encoding="utf-8"?>
<comments xmlns="http://schemas.openxmlformats.org/spreadsheetml/2006/main">
  <authors>
    <author>benito.luna</author>
  </authors>
  <commentList>
    <comment ref="J17" authorId="0">
      <text>
        <r>
          <rPr>
            <b/>
            <sz val="8"/>
            <color indexed="81"/>
            <rFont val="Tahoma"/>
            <family val="2"/>
          </rPr>
          <t>benito.luna:</t>
        </r>
        <r>
          <rPr>
            <sz val="8"/>
            <color indexed="81"/>
            <rFont val="Tahoma"/>
            <family val="2"/>
          </rPr>
          <t xml:space="preserve">
Cost of Salaries for remainding Pay Periods</t>
        </r>
      </text>
    </comment>
    <comment ref="J18" authorId="0">
      <text>
        <r>
          <rPr>
            <b/>
            <sz val="8"/>
            <color indexed="81"/>
            <rFont val="Tahoma"/>
            <family val="2"/>
          </rPr>
          <t>benito.luna:</t>
        </r>
        <r>
          <rPr>
            <sz val="8"/>
            <color indexed="81"/>
            <rFont val="Tahoma"/>
            <family val="2"/>
          </rPr>
          <t xml:space="preserve">
figure represents 30% of the total remainding Salary Exp. ($297,084.28) </t>
        </r>
      </text>
    </comment>
  </commentList>
</comments>
</file>

<file path=xl/comments2.xml><?xml version="1.0" encoding="utf-8"?>
<comments xmlns="http://schemas.openxmlformats.org/spreadsheetml/2006/main">
  <authors>
    <author>benito.luna</author>
  </authors>
  <commentList>
    <comment ref="N18" authorId="0">
      <text>
        <r>
          <rPr>
            <b/>
            <sz val="8"/>
            <color indexed="81"/>
            <rFont val="Tahoma"/>
            <family val="2"/>
          </rPr>
          <t>benito.luna:</t>
        </r>
        <r>
          <rPr>
            <sz val="8"/>
            <color indexed="81"/>
            <rFont val="Tahoma"/>
            <family val="2"/>
          </rPr>
          <t xml:space="preserve">
Cost of Salaries for remainding Pay Periods</t>
        </r>
      </text>
    </comment>
    <comment ref="N19" authorId="0">
      <text>
        <r>
          <rPr>
            <b/>
            <sz val="8"/>
            <color indexed="81"/>
            <rFont val="Tahoma"/>
            <family val="2"/>
          </rPr>
          <t>benito.luna:</t>
        </r>
        <r>
          <rPr>
            <sz val="8"/>
            <color indexed="81"/>
            <rFont val="Tahoma"/>
            <family val="2"/>
          </rPr>
          <t xml:space="preserve">
figure represents 30% of the total remainding Salary Exp. ($297,084.28) </t>
        </r>
      </text>
    </comment>
  </commentList>
</comments>
</file>

<file path=xl/sharedStrings.xml><?xml version="1.0" encoding="utf-8"?>
<sst xmlns="http://schemas.openxmlformats.org/spreadsheetml/2006/main" count="278" uniqueCount="174">
  <si>
    <t>*COST PER</t>
  </si>
  <si>
    <t>REMAINING</t>
  </si>
  <si>
    <t xml:space="preserve">COST FOR </t>
  </si>
  <si>
    <t xml:space="preserve">BUDGET </t>
  </si>
  <si>
    <t>ANTICIPATED</t>
  </si>
  <si>
    <t>PAY PERIOD</t>
  </si>
  <si>
    <t>PAY PERIODS</t>
  </si>
  <si>
    <t>REMAINING PDS</t>
  </si>
  <si>
    <t>BALANCE</t>
  </si>
  <si>
    <t>SURPLUS</t>
  </si>
  <si>
    <t>(DEFICIT)</t>
  </si>
  <si>
    <t>Salaries-F/T</t>
  </si>
  <si>
    <t>Health Insurance</t>
  </si>
  <si>
    <t>Life Insurance</t>
  </si>
  <si>
    <t>Fica</t>
  </si>
  <si>
    <t>Retirement</t>
  </si>
  <si>
    <t>Unemployment Comp.</t>
  </si>
  <si>
    <t>Worker's Comp</t>
  </si>
  <si>
    <t xml:space="preserve">Health Insurance is paid twice per month only. </t>
  </si>
  <si>
    <t xml:space="preserve">Life Insurance is paid once per month only. </t>
  </si>
  <si>
    <t>Object</t>
  </si>
  <si>
    <t xml:space="preserve">Account Description </t>
  </si>
  <si>
    <t>Regular F/T Employee</t>
  </si>
  <si>
    <t xml:space="preserve">Y-T-D Expenditures </t>
  </si>
  <si>
    <t xml:space="preserve">Total Expenditures </t>
  </si>
  <si>
    <t xml:space="preserve">Health Insurance </t>
  </si>
  <si>
    <t xml:space="preserve">Life Insurance </t>
  </si>
  <si>
    <t xml:space="preserve">FICA </t>
  </si>
  <si>
    <t xml:space="preserve">Retirement </t>
  </si>
  <si>
    <t xml:space="preserve">Unemployment </t>
  </si>
  <si>
    <t xml:space="preserve">Workers Comp. </t>
  </si>
  <si>
    <t xml:space="preserve">Travel In-County </t>
  </si>
  <si>
    <t>Travel Out-of-County</t>
  </si>
  <si>
    <t>Office &amp; Comp Supplies</t>
  </si>
  <si>
    <t>Total Grant Award</t>
  </si>
  <si>
    <t xml:space="preserve">Available Balance </t>
  </si>
  <si>
    <t>Sub-Total - Personnel</t>
  </si>
  <si>
    <t xml:space="preserve">Sub-Total- Fringes </t>
  </si>
  <si>
    <t xml:space="preserve">Sub-Total - Travel </t>
  </si>
  <si>
    <t xml:space="preserve">Sub-Total - Supplies </t>
  </si>
  <si>
    <t xml:space="preserve">Sub-Total - Other </t>
  </si>
  <si>
    <t>Sub-Total - Contractual</t>
  </si>
  <si>
    <t>Advertising</t>
  </si>
  <si>
    <t>Printing &amp; Binding</t>
  </si>
  <si>
    <t>pp 18</t>
  </si>
  <si>
    <t>pp 19</t>
  </si>
  <si>
    <t>Medical Supplies</t>
  </si>
  <si>
    <t>Licenses &amp; Permits</t>
  </si>
  <si>
    <t>Sub-Total Pay</t>
  </si>
  <si>
    <t xml:space="preserve">Sub-Fringes </t>
  </si>
  <si>
    <t xml:space="preserve">Original Budget </t>
  </si>
  <si>
    <t xml:space="preserve">Sub-Total - Equipment </t>
  </si>
  <si>
    <t>TB Control FY 12</t>
  </si>
  <si>
    <t>09/01/2011 through 08/31/2012</t>
  </si>
  <si>
    <t xml:space="preserve">Other Professional Services </t>
  </si>
  <si>
    <t>Repairs &amp; Maintenance Building &amp; Other Structures</t>
  </si>
  <si>
    <t>Program Income Budget</t>
  </si>
  <si>
    <t xml:space="preserve">Total Grant Budget </t>
  </si>
  <si>
    <t>09/01/11 thru 12/31/11</t>
  </si>
  <si>
    <t xml:space="preserve">Total Grant Budget With Transfers </t>
  </si>
  <si>
    <t xml:space="preserve">Compuer Services </t>
  </si>
  <si>
    <t xml:space="preserve">Other Services </t>
  </si>
  <si>
    <t>TB CONTROL FY 12</t>
  </si>
  <si>
    <t>GRANT ENDING 08/31/2012</t>
  </si>
  <si>
    <t/>
  </si>
  <si>
    <t>pp 13</t>
  </si>
  <si>
    <t>pp 14</t>
  </si>
  <si>
    <t>pp 15</t>
  </si>
  <si>
    <t>pp 16</t>
  </si>
  <si>
    <t>pp 17</t>
  </si>
  <si>
    <t>5 days only</t>
  </si>
  <si>
    <t>Projection of Salaries and Fringes for the remainder of the TB CONTROL FY 12 period ending 08/31/12</t>
  </si>
  <si>
    <t>Detail Expenditure Report -----&gt;</t>
  </si>
  <si>
    <t>Household &amp; Janitorial Supplies</t>
  </si>
  <si>
    <t>Other Miscellaneous Supplies</t>
  </si>
  <si>
    <t>Repairs &amp; Maintenance Supplies</t>
  </si>
  <si>
    <t>Grant Amendment 05/08/12</t>
  </si>
  <si>
    <t xml:space="preserve">Repairs &amp; Maintenance Services - Equipment &amp; Vehicles </t>
  </si>
  <si>
    <t>Pay Periods Remaining at 06/13/2012:</t>
  </si>
  <si>
    <t>Total Grant Budget With Transfers With Prog Inc</t>
  </si>
  <si>
    <t>Difference Between Award Budget</t>
  </si>
  <si>
    <t xml:space="preserve">Program Income Amendment </t>
  </si>
  <si>
    <t xml:space="preserve">Minor Office Equipment </t>
  </si>
  <si>
    <t xml:space="preserve">Office Furniture &amp; Equipment </t>
  </si>
  <si>
    <t>01/01/12 thru 07/09/12</t>
  </si>
  <si>
    <t>Projected Expenditures  07/10-08/31/12</t>
  </si>
  <si>
    <t xml:space="preserve">10% Transfer Threshold = 10% of ($455,507.00 + 51,694.00 = $507,201.00) - ($3,240.00) = $503,961.00;  </t>
  </si>
  <si>
    <t xml:space="preserve">10% of $503,961.00 = $50,396.00.  </t>
  </si>
  <si>
    <t>THROUGH</t>
  </si>
  <si>
    <t xml:space="preserve">Fringes </t>
  </si>
  <si>
    <t>Personnel</t>
  </si>
  <si>
    <t xml:space="preserve">Travel </t>
  </si>
  <si>
    <t xml:space="preserve">Equipment </t>
  </si>
  <si>
    <t xml:space="preserve">Supplies </t>
  </si>
  <si>
    <t>Contractual</t>
  </si>
  <si>
    <t xml:space="preserve">Other </t>
  </si>
  <si>
    <t xml:space="preserve">Clothing &amp; Uniforms </t>
  </si>
  <si>
    <r>
      <t xml:space="preserve">Current variance among Categorical Budgets = </t>
    </r>
    <r>
      <rPr>
        <b/>
        <sz val="10"/>
        <color indexed="10"/>
        <rFont val="Arial"/>
        <family val="2"/>
      </rPr>
      <t>$36,699.00.</t>
    </r>
    <r>
      <rPr>
        <b/>
        <sz val="10"/>
        <color indexed="12"/>
        <rFont val="Arial"/>
        <family val="2"/>
      </rPr>
      <t xml:space="preserve">   </t>
    </r>
  </si>
  <si>
    <t>Other Professional Services</t>
  </si>
  <si>
    <t>Line Item Transfers</t>
  </si>
  <si>
    <t>TB Control FY 14</t>
  </si>
  <si>
    <t>09/01/2013 through 08/31/2014</t>
  </si>
  <si>
    <t>TB CONTROL FY 14</t>
  </si>
  <si>
    <t>GRANT ENDING 08/31/2014</t>
  </si>
  <si>
    <t>Projection of Salaries and Fringes for the remainder of the TB CONTROL FY 14 period ending 08/31/14</t>
  </si>
  <si>
    <t>Grant Budget</t>
  </si>
  <si>
    <t>Match Budget</t>
  </si>
  <si>
    <r>
      <t>SURPLUS/</t>
    </r>
    <r>
      <rPr>
        <b/>
        <sz val="10"/>
        <color rgb="FFFF0000"/>
        <rFont val="Arial"/>
        <family val="2"/>
      </rPr>
      <t>DEFICIT</t>
    </r>
  </si>
  <si>
    <t>2014 PAYROLL SCHEDULE</t>
  </si>
  <si>
    <t xml:space="preserve">Pay Day </t>
  </si>
  <si>
    <t>T.B. Control - Reg F/T Employees</t>
  </si>
  <si>
    <t xml:space="preserve">T.B. Control - Health Insurance </t>
  </si>
  <si>
    <t xml:space="preserve">T.B. Control - Life Insurance </t>
  </si>
  <si>
    <t xml:space="preserve">T.B. Control - FICA </t>
  </si>
  <si>
    <t xml:space="preserve">T.B. Control - Retirement </t>
  </si>
  <si>
    <t xml:space="preserve">T.B. Control - Unemployment Comp </t>
  </si>
  <si>
    <t xml:space="preserve">T.B. Control - Workers Comp </t>
  </si>
  <si>
    <t>Total Budget</t>
  </si>
  <si>
    <t>Life Insurance *</t>
  </si>
  <si>
    <t xml:space="preserve">This analysis is needed as the amount budgeted in the general ledger consists of 80% grant monies and 20% local match funds.  </t>
  </si>
  <si>
    <t xml:space="preserve">Notes:  </t>
  </si>
  <si>
    <t xml:space="preserve">Cell D-11 amount was obtained by dividing the yearly budgeted salary amount shown in the Salary Schedule by 26 pay periods.  </t>
  </si>
  <si>
    <t xml:space="preserve">Cell D-14 amount was obtained by dividing the yearly budgeted health insurance amount shown in the Projected Salary Schedule by 26 pay periods.  </t>
  </si>
  <si>
    <t>Pay Date</t>
  </si>
  <si>
    <t xml:space="preserve">Work Period Covered </t>
  </si>
  <si>
    <t>Salary Schedule</t>
  </si>
  <si>
    <t>----------------------------------------------&gt;</t>
  </si>
  <si>
    <t xml:space="preserve">Original Budget GRANT </t>
  </si>
  <si>
    <t>Original Budget LOCAL MATCH</t>
  </si>
  <si>
    <t xml:space="preserve">Other Equipment </t>
  </si>
  <si>
    <t>Minor Office Furn &amp; Equip</t>
  </si>
  <si>
    <t>Other Miscellaneous</t>
  </si>
  <si>
    <t>Janitorial Supplies</t>
  </si>
  <si>
    <t xml:space="preserve">Sub-Total Grant Budget </t>
  </si>
  <si>
    <t xml:space="preserve">GRANT Salaries Y-T-D Expenditures </t>
  </si>
  <si>
    <t xml:space="preserve">Local Match Salaries       Y-T-D Expenditures </t>
  </si>
  <si>
    <t xml:space="preserve">GRANT SALARIES Available Balance </t>
  </si>
  <si>
    <t>Y-T-D Expenditures Grant &amp; Match</t>
  </si>
  <si>
    <t>Detail Expenditure Report 2013  ---------------------------&gt;</t>
  </si>
  <si>
    <t>Detail Expenditure Report 2014 ----------------------------&gt;</t>
  </si>
  <si>
    <t>Grant / Match Distribution of Exp. ---------------------&gt;</t>
  </si>
  <si>
    <t>Expenditures by Category</t>
  </si>
  <si>
    <t xml:space="preserve">Object 113 - F/T Employees </t>
  </si>
  <si>
    <t xml:space="preserve">Grant </t>
  </si>
  <si>
    <t xml:space="preserve">Local Match </t>
  </si>
  <si>
    <t xml:space="preserve">Total </t>
  </si>
  <si>
    <t>09/01/13 through 12/31/13</t>
  </si>
  <si>
    <t xml:space="preserve">Object 211 - Health Insurance </t>
  </si>
  <si>
    <t xml:space="preserve">Object 212 - Life Insurance </t>
  </si>
  <si>
    <t xml:space="preserve">Object 220 - FICA </t>
  </si>
  <si>
    <t xml:space="preserve">Object 230 - Retirement </t>
  </si>
  <si>
    <t xml:space="preserve">Object 250 - Unemployment </t>
  </si>
  <si>
    <t>Object 260 - Workers Comp</t>
  </si>
  <si>
    <t>Expended 09/01/13 to 12/31/14</t>
  </si>
  <si>
    <t xml:space="preserve">10% Threshold = </t>
  </si>
  <si>
    <t xml:space="preserve">25% Threshold = </t>
  </si>
  <si>
    <t>Educational Supplies</t>
  </si>
  <si>
    <t>01/01/14 through 06/241/4</t>
  </si>
  <si>
    <t>Projected Expenditures  06/25/14-08/31/14</t>
  </si>
  <si>
    <t xml:space="preserve">Other Minor Equipment </t>
  </si>
  <si>
    <t>Safety Supplies</t>
  </si>
  <si>
    <t>Minor Software</t>
  </si>
  <si>
    <t>Equip &amp; Veh R&amp;M Supplies</t>
  </si>
  <si>
    <t xml:space="preserve">Minor Comp Equipment </t>
  </si>
  <si>
    <t>Budget Transfers through 06/24/14</t>
  </si>
  <si>
    <t>Office Furn &amp; Equip</t>
  </si>
  <si>
    <t>Pay Periods Remaining at 06/25/14:</t>
  </si>
  <si>
    <t>4-1293-441-00-340-008-4-113</t>
  </si>
  <si>
    <t>4-1293-441-00-340-008-4-114</t>
  </si>
  <si>
    <t>4-1293-441-00-340-008-4-115</t>
  </si>
  <si>
    <t>4-1293-441-00-340-008-4-116</t>
  </si>
  <si>
    <t>4-1293-441-00-340-008-4-117</t>
  </si>
  <si>
    <t>4-1293-441-00-340-008-4-118</t>
  </si>
  <si>
    <t>4-1293-441-00-340-008-4-119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</si>
</sst>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</numFmts>
  <fonts count="22" x14ac:knownFonts="1"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indexed="12"/>
      <name val="Arial"/>
      <family val="2"/>
    </font>
    <font>
      <sz val="8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17"/>
      <name val="Arial"/>
      <family val="2"/>
    </font>
    <font>
      <b/>
      <sz val="10"/>
      <color indexed="20"/>
      <name val="Arial"/>
      <family val="2"/>
    </font>
    <font>
      <sz val="10"/>
      <name val="Arial"/>
      <family val="2"/>
    </font>
    <font>
      <sz val="10"/>
      <color rgb="FF0000CC"/>
      <name val="Arial"/>
      <family val="2"/>
    </font>
    <font>
      <b/>
      <sz val="10"/>
      <color rgb="FF0000CC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0"/>
      <color rgb="FF00B05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</fills>
  <borders count="23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</cellStyleXfs>
  <cellXfs count="206">
    <xf numFmtId="0" fontId="0" fillId="0" borderId="0" xfId="0"/>
    <xf numFmtId="0" fontId="2" fillId="0" borderId="0" xfId="0" applyFont="1"/>
    <xf numFmtId="0" fontId="2" fillId="0" borderId="0" xfId="0" applyFont="1" applyAlignment="1">
      <alignment horizontal="left"/>
    </xf>
    <xf numFmtId="0" fontId="0" fillId="0" borderId="1" xfId="0" applyBorder="1"/>
    <xf numFmtId="0" fontId="0" fillId="0" borderId="2" xfId="0" applyBorder="1"/>
    <xf numFmtId="0" fontId="0" fillId="0" borderId="0" xfId="0" applyBorder="1"/>
    <xf numFmtId="0" fontId="0" fillId="0" borderId="3" xfId="0" applyBorder="1"/>
    <xf numFmtId="0" fontId="0" fillId="0" borderId="4" xfId="0" applyBorder="1"/>
    <xf numFmtId="44" fontId="0" fillId="0" borderId="4" xfId="0" applyNumberFormat="1" applyBorder="1"/>
    <xf numFmtId="0" fontId="0" fillId="0" borderId="5" xfId="0" applyFill="1" applyBorder="1"/>
    <xf numFmtId="44" fontId="0" fillId="0" borderId="6" xfId="0" applyNumberFormat="1" applyBorder="1"/>
    <xf numFmtId="44" fontId="0" fillId="0" borderId="6" xfId="0" applyNumberFormat="1" applyFill="1" applyBorder="1"/>
    <xf numFmtId="44" fontId="1" fillId="0" borderId="0" xfId="0" applyNumberFormat="1" applyFont="1" applyFill="1" applyBorder="1"/>
    <xf numFmtId="44" fontId="0" fillId="0" borderId="4" xfId="0" applyNumberFormat="1" applyFill="1" applyBorder="1"/>
    <xf numFmtId="0" fontId="0" fillId="0" borderId="4" xfId="0" applyFill="1" applyBorder="1"/>
    <xf numFmtId="44" fontId="0" fillId="0" borderId="4" xfId="0" quotePrefix="1" applyNumberFormat="1" applyBorder="1"/>
    <xf numFmtId="44" fontId="0" fillId="0" borderId="0" xfId="0" applyNumberFormat="1"/>
    <xf numFmtId="0" fontId="0" fillId="0" borderId="7" xfId="0" applyBorder="1"/>
    <xf numFmtId="0" fontId="0" fillId="0" borderId="8" xfId="0" applyBorder="1"/>
    <xf numFmtId="44" fontId="0" fillId="0" borderId="2" xfId="0" applyNumberFormat="1" applyBorder="1"/>
    <xf numFmtId="0" fontId="0" fillId="0" borderId="6" xfId="0" applyBorder="1"/>
    <xf numFmtId="44" fontId="2" fillId="0" borderId="2" xfId="0" applyNumberFormat="1" applyFont="1" applyBorder="1"/>
    <xf numFmtId="44" fontId="2" fillId="0" borderId="8" xfId="0" applyNumberFormat="1" applyFont="1" applyBorder="1"/>
    <xf numFmtId="44" fontId="2" fillId="0" borderId="0" xfId="0" applyNumberFormat="1" applyFont="1" applyFill="1" applyBorder="1"/>
    <xf numFmtId="44" fontId="2" fillId="2" borderId="9" xfId="0" applyNumberFormat="1" applyFont="1" applyFill="1" applyBorder="1"/>
    <xf numFmtId="14" fontId="0" fillId="0" borderId="0" xfId="0" applyNumberFormat="1"/>
    <xf numFmtId="0" fontId="0" fillId="0" borderId="0" xfId="0" applyNumberFormat="1"/>
    <xf numFmtId="0" fontId="5" fillId="0" borderId="0" xfId="0" applyFont="1"/>
    <xf numFmtId="43" fontId="0" fillId="0" borderId="0" xfId="1" applyFont="1"/>
    <xf numFmtId="43" fontId="0" fillId="0" borderId="7" xfId="1" applyFont="1" applyBorder="1"/>
    <xf numFmtId="0" fontId="0" fillId="0" borderId="10" xfId="0" applyBorder="1"/>
    <xf numFmtId="43" fontId="0" fillId="0" borderId="11" xfId="1" applyFont="1" applyBorder="1"/>
    <xf numFmtId="43" fontId="0" fillId="3" borderId="3" xfId="1" applyFont="1" applyFill="1" applyBorder="1"/>
    <xf numFmtId="43" fontId="0" fillId="0" borderId="2" xfId="1" applyFont="1" applyBorder="1"/>
    <xf numFmtId="43" fontId="0" fillId="0" borderId="4" xfId="1" applyFont="1" applyBorder="1"/>
    <xf numFmtId="43" fontId="0" fillId="3" borderId="10" xfId="1" applyFont="1" applyFill="1" applyBorder="1"/>
    <xf numFmtId="43" fontId="0" fillId="0" borderId="10" xfId="1" applyFont="1" applyBorder="1"/>
    <xf numFmtId="43" fontId="0" fillId="0" borderId="8" xfId="1" applyFont="1" applyBorder="1"/>
    <xf numFmtId="43" fontId="0" fillId="3" borderId="10" xfId="0" applyNumberFormat="1" applyFill="1" applyBorder="1"/>
    <xf numFmtId="43" fontId="2" fillId="3" borderId="12" xfId="0" applyNumberFormat="1" applyFont="1" applyFill="1" applyBorder="1"/>
    <xf numFmtId="43" fontId="0" fillId="0" borderId="13" xfId="1" applyFont="1" applyBorder="1"/>
    <xf numFmtId="0" fontId="0" fillId="0" borderId="13" xfId="0" applyBorder="1"/>
    <xf numFmtId="43" fontId="0" fillId="0" borderId="14" xfId="1" applyFont="1" applyBorder="1"/>
    <xf numFmtId="43" fontId="0" fillId="0" borderId="1" xfId="1" applyFont="1" applyBorder="1"/>
    <xf numFmtId="43" fontId="0" fillId="0" borderId="0" xfId="1" applyFont="1" applyBorder="1"/>
    <xf numFmtId="43" fontId="0" fillId="3" borderId="5" xfId="1" applyFont="1" applyFill="1" applyBorder="1"/>
    <xf numFmtId="43" fontId="0" fillId="3" borderId="13" xfId="1" applyFont="1" applyFill="1" applyBorder="1"/>
    <xf numFmtId="43" fontId="0" fillId="3" borderId="13" xfId="0" applyNumberFormat="1" applyFill="1" applyBorder="1"/>
    <xf numFmtId="43" fontId="0" fillId="3" borderId="0" xfId="1" applyFont="1" applyFill="1"/>
    <xf numFmtId="43" fontId="0" fillId="3" borderId="0" xfId="1" applyFont="1" applyFill="1" applyBorder="1"/>
    <xf numFmtId="43" fontId="0" fillId="0" borderId="10" xfId="0" applyNumberFormat="1" applyFill="1" applyBorder="1"/>
    <xf numFmtId="43" fontId="0" fillId="0" borderId="0" xfId="0" applyNumberFormat="1" applyFill="1" applyBorder="1"/>
    <xf numFmtId="43" fontId="0" fillId="0" borderId="10" xfId="1" applyFont="1" applyFill="1" applyBorder="1"/>
    <xf numFmtId="43" fontId="0" fillId="0" borderId="13" xfId="0" applyNumberFormat="1" applyFill="1" applyBorder="1"/>
    <xf numFmtId="43" fontId="0" fillId="0" borderId="0" xfId="1" applyFont="1" applyFill="1"/>
    <xf numFmtId="43" fontId="0" fillId="0" borderId="0" xfId="1" applyFont="1" applyFill="1" applyBorder="1"/>
    <xf numFmtId="0" fontId="0" fillId="0" borderId="0" xfId="0" applyNumberFormat="1" applyFill="1"/>
    <xf numFmtId="44" fontId="5" fillId="0" borderId="5" xfId="0" applyNumberFormat="1" applyFont="1" applyFill="1" applyBorder="1"/>
    <xf numFmtId="44" fontId="7" fillId="0" borderId="5" xfId="0" applyNumberFormat="1" applyFont="1" applyFill="1" applyBorder="1"/>
    <xf numFmtId="44" fontId="5" fillId="0" borderId="4" xfId="0" applyNumberFormat="1" applyFont="1" applyFill="1" applyBorder="1"/>
    <xf numFmtId="0" fontId="5" fillId="0" borderId="5" xfId="0" applyFont="1" applyBorder="1"/>
    <xf numFmtId="44" fontId="7" fillId="4" borderId="8" xfId="0" applyNumberFormat="1" applyFont="1" applyFill="1" applyBorder="1"/>
    <xf numFmtId="0" fontId="2" fillId="0" borderId="4" xfId="0" applyFont="1" applyBorder="1" applyAlignment="1">
      <alignment horizontal="center"/>
    </xf>
    <xf numFmtId="0" fontId="2" fillId="0" borderId="14" xfId="0" applyFont="1" applyBorder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0" fontId="2" fillId="0" borderId="15" xfId="0" applyFont="1" applyBorder="1" applyAlignment="1">
      <alignment horizontal="center" wrapText="1"/>
    </xf>
    <xf numFmtId="0" fontId="8" fillId="0" borderId="0" xfId="0" applyFont="1"/>
    <xf numFmtId="43" fontId="0" fillId="0" borderId="3" xfId="1" applyFont="1" applyBorder="1"/>
    <xf numFmtId="0" fontId="2" fillId="0" borderId="4" xfId="0" applyFont="1" applyBorder="1"/>
    <xf numFmtId="0" fontId="2" fillId="0" borderId="3" xfId="0" applyFont="1" applyBorder="1"/>
    <xf numFmtId="0" fontId="0" fillId="5" borderId="4" xfId="0" applyFill="1" applyBorder="1"/>
    <xf numFmtId="44" fontId="0" fillId="5" borderId="4" xfId="0" applyNumberFormat="1" applyFill="1" applyBorder="1"/>
    <xf numFmtId="0" fontId="0" fillId="5" borderId="5" xfId="0" applyFill="1" applyBorder="1"/>
    <xf numFmtId="44" fontId="0" fillId="5" borderId="6" xfId="0" applyNumberFormat="1" applyFill="1" applyBorder="1"/>
    <xf numFmtId="44" fontId="7" fillId="5" borderId="5" xfId="0" applyNumberFormat="1" applyFont="1" applyFill="1" applyBorder="1"/>
    <xf numFmtId="0" fontId="0" fillId="5" borderId="3" xfId="0" applyFill="1" applyBorder="1"/>
    <xf numFmtId="44" fontId="0" fillId="5" borderId="3" xfId="0" applyNumberFormat="1" applyFill="1" applyBorder="1"/>
    <xf numFmtId="0" fontId="0" fillId="5" borderId="6" xfId="0" applyFill="1" applyBorder="1"/>
    <xf numFmtId="0" fontId="2" fillId="0" borderId="6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2" xfId="0" applyFont="1" applyBorder="1"/>
    <xf numFmtId="43" fontId="9" fillId="0" borderId="0" xfId="0" applyNumberFormat="1" applyFont="1"/>
    <xf numFmtId="14" fontId="8" fillId="0" borderId="0" xfId="0" applyNumberFormat="1" applyFont="1"/>
    <xf numFmtId="0" fontId="10" fillId="0" borderId="0" xfId="0" applyFont="1"/>
    <xf numFmtId="14" fontId="7" fillId="0" borderId="2" xfId="0" applyNumberFormat="1" applyFont="1" applyBorder="1" applyAlignment="1">
      <alignment horizontal="center"/>
    </xf>
    <xf numFmtId="0" fontId="0" fillId="0" borderId="0" xfId="0" applyNumberFormat="1" applyFill="1" applyBorder="1"/>
    <xf numFmtId="0" fontId="0" fillId="0" borderId="0" xfId="0" applyFill="1" applyBorder="1"/>
    <xf numFmtId="14" fontId="0" fillId="0" borderId="0" xfId="0" applyNumberFormat="1" applyFill="1" applyBorder="1"/>
    <xf numFmtId="43" fontId="2" fillId="0" borderId="0" xfId="0" applyNumberFormat="1" applyFont="1" applyFill="1" applyBorder="1"/>
    <xf numFmtId="0" fontId="1" fillId="0" borderId="0" xfId="0" applyFont="1"/>
    <xf numFmtId="0" fontId="8" fillId="0" borderId="8" xfId="0" applyFont="1" applyBorder="1" applyAlignment="1">
      <alignment horizontal="center"/>
    </xf>
    <xf numFmtId="0" fontId="11" fillId="0" borderId="0" xfId="0" applyFont="1"/>
    <xf numFmtId="43" fontId="1" fillId="0" borderId="8" xfId="1" applyFont="1" applyBorder="1"/>
    <xf numFmtId="43" fontId="0" fillId="0" borderId="3" xfId="1" applyFont="1" applyFill="1" applyBorder="1"/>
    <xf numFmtId="44" fontId="0" fillId="5" borderId="3" xfId="0" quotePrefix="1" applyNumberFormat="1" applyFill="1" applyBorder="1"/>
    <xf numFmtId="0" fontId="13" fillId="0" borderId="0" xfId="0" applyFont="1"/>
    <xf numFmtId="0" fontId="2" fillId="6" borderId="4" xfId="0" applyFont="1" applyFill="1" applyBorder="1" applyAlignment="1">
      <alignment horizontal="center" wrapText="1"/>
    </xf>
    <xf numFmtId="43" fontId="1" fillId="6" borderId="4" xfId="1" applyFont="1" applyFill="1" applyBorder="1"/>
    <xf numFmtId="43" fontId="1" fillId="6" borderId="8" xfId="1" applyFont="1" applyFill="1" applyBorder="1"/>
    <xf numFmtId="43" fontId="14" fillId="3" borderId="12" xfId="0" applyNumberFormat="1" applyFont="1" applyFill="1" applyBorder="1"/>
    <xf numFmtId="43" fontId="14" fillId="3" borderId="10" xfId="1" applyFont="1" applyFill="1" applyBorder="1"/>
    <xf numFmtId="43" fontId="1" fillId="6" borderId="10" xfId="1" applyFont="1" applyFill="1" applyBorder="1"/>
    <xf numFmtId="43" fontId="1" fillId="6" borderId="8" xfId="1" applyFont="1" applyFill="1" applyBorder="1"/>
    <xf numFmtId="43" fontId="14" fillId="3" borderId="5" xfId="1" applyFont="1" applyFill="1" applyBorder="1"/>
    <xf numFmtId="43" fontId="14" fillId="3" borderId="10" xfId="0" applyNumberFormat="1" applyFont="1" applyFill="1" applyBorder="1"/>
    <xf numFmtId="0" fontId="14" fillId="0" borderId="0" xfId="0" applyFont="1"/>
    <xf numFmtId="43" fontId="1" fillId="6" borderId="10" xfId="1" applyFont="1" applyFill="1" applyBorder="1"/>
    <xf numFmtId="43" fontId="1" fillId="0" borderId="10" xfId="1" applyFont="1" applyFill="1" applyBorder="1"/>
    <xf numFmtId="43" fontId="1" fillId="0" borderId="8" xfId="1" applyFont="1" applyFill="1" applyBorder="1"/>
    <xf numFmtId="43" fontId="1" fillId="0" borderId="11" xfId="1" applyFont="1" applyFill="1" applyBorder="1"/>
    <xf numFmtId="43" fontId="1" fillId="0" borderId="6" xfId="1" applyFont="1" applyFill="1" applyBorder="1"/>
    <xf numFmtId="43" fontId="1" fillId="0" borderId="10" xfId="2" applyFont="1" applyFill="1" applyBorder="1"/>
    <xf numFmtId="0" fontId="2" fillId="0" borderId="11" xfId="0" applyFont="1" applyBorder="1" applyAlignment="1">
      <alignment horizontal="center" wrapText="1"/>
    </xf>
    <xf numFmtId="43" fontId="15" fillId="3" borderId="3" xfId="1" applyFont="1" applyFill="1" applyBorder="1"/>
    <xf numFmtId="43" fontId="1" fillId="0" borderId="2" xfId="1" applyFont="1" applyFill="1" applyBorder="1"/>
    <xf numFmtId="43" fontId="13" fillId="3" borderId="3" xfId="1" applyFont="1" applyFill="1" applyBorder="1"/>
    <xf numFmtId="43" fontId="13" fillId="3" borderId="3" xfId="0" applyNumberFormat="1" applyFont="1" applyFill="1" applyBorder="1"/>
    <xf numFmtId="43" fontId="0" fillId="0" borderId="3" xfId="0" applyNumberFormat="1" applyFill="1" applyBorder="1"/>
    <xf numFmtId="0" fontId="2" fillId="6" borderId="16" xfId="0" applyFont="1" applyFill="1" applyBorder="1" applyAlignment="1">
      <alignment horizontal="center" wrapText="1"/>
    </xf>
    <xf numFmtId="43" fontId="1" fillId="6" borderId="17" xfId="1" applyFont="1" applyFill="1" applyBorder="1"/>
    <xf numFmtId="43" fontId="0" fillId="0" borderId="18" xfId="1" applyFont="1" applyBorder="1"/>
    <xf numFmtId="43" fontId="1" fillId="6" borderId="18" xfId="1" applyFont="1" applyFill="1" applyBorder="1"/>
    <xf numFmtId="43" fontId="1" fillId="6" borderId="19" xfId="1" applyFont="1" applyFill="1" applyBorder="1"/>
    <xf numFmtId="43" fontId="1" fillId="6" borderId="18" xfId="1" applyFont="1" applyFill="1" applyBorder="1"/>
    <xf numFmtId="43" fontId="0" fillId="0" borderId="18" xfId="1" applyFont="1" applyFill="1" applyBorder="1"/>
    <xf numFmtId="43" fontId="1" fillId="6" borderId="19" xfId="1" applyFont="1" applyFill="1" applyBorder="1"/>
    <xf numFmtId="43" fontId="0" fillId="0" borderId="18" xfId="0" applyNumberFormat="1" applyFill="1" applyBorder="1"/>
    <xf numFmtId="0" fontId="0" fillId="0" borderId="20" xfId="0" applyBorder="1"/>
    <xf numFmtId="43" fontId="14" fillId="3" borderId="18" xfId="1" applyFont="1" applyFill="1" applyBorder="1"/>
    <xf numFmtId="43" fontId="14" fillId="3" borderId="18" xfId="0" applyNumberFormat="1" applyFont="1" applyFill="1" applyBorder="1"/>
    <xf numFmtId="43" fontId="14" fillId="3" borderId="21" xfId="0" applyNumberFormat="1" applyFont="1" applyFill="1" applyBorder="1"/>
    <xf numFmtId="0" fontId="2" fillId="7" borderId="0" xfId="0" applyFont="1" applyFill="1"/>
    <xf numFmtId="0" fontId="2" fillId="7" borderId="4" xfId="0" applyFont="1" applyFill="1" applyBorder="1"/>
    <xf numFmtId="0" fontId="13" fillId="0" borderId="0" xfId="0" applyFont="1" applyAlignment="1">
      <alignment horizontal="center"/>
    </xf>
    <xf numFmtId="14" fontId="13" fillId="0" borderId="0" xfId="0" applyNumberFormat="1" applyFont="1" applyAlignment="1">
      <alignment horizontal="center"/>
    </xf>
    <xf numFmtId="44" fontId="2" fillId="5" borderId="6" xfId="0" applyNumberFormat="1" applyFont="1" applyFill="1" applyBorder="1"/>
    <xf numFmtId="44" fontId="2" fillId="5" borderId="3" xfId="0" applyNumberFormat="1" applyFont="1" applyFill="1" applyBorder="1"/>
    <xf numFmtId="9" fontId="7" fillId="0" borderId="3" xfId="0" applyNumberFormat="1" applyFont="1" applyBorder="1" applyAlignment="1">
      <alignment horizontal="center"/>
    </xf>
    <xf numFmtId="44" fontId="0" fillId="0" borderId="5" xfId="0" applyNumberFormat="1" applyBorder="1"/>
    <xf numFmtId="44" fontId="0" fillId="0" borderId="5" xfId="0" applyNumberFormat="1" applyFill="1" applyBorder="1"/>
    <xf numFmtId="44" fontId="0" fillId="0" borderId="5" xfId="0" quotePrefix="1" applyNumberFormat="1" applyBorder="1"/>
    <xf numFmtId="44" fontId="0" fillId="6" borderId="4" xfId="0" applyNumberFormat="1" applyFill="1" applyBorder="1"/>
    <xf numFmtId="44" fontId="0" fillId="6" borderId="4" xfId="0" quotePrefix="1" applyNumberFormat="1" applyFill="1" applyBorder="1"/>
    <xf numFmtId="44" fontId="0" fillId="6" borderId="2" xfId="0" applyNumberFormat="1" applyFill="1" applyBorder="1"/>
    <xf numFmtId="44" fontId="0" fillId="6" borderId="6" xfId="0" applyNumberFormat="1" applyFill="1" applyBorder="1"/>
    <xf numFmtId="0" fontId="17" fillId="0" borderId="4" xfId="0" applyFont="1" applyBorder="1"/>
    <xf numFmtId="44" fontId="0" fillId="0" borderId="8" xfId="0" applyNumberFormat="1" applyBorder="1"/>
    <xf numFmtId="44" fontId="0" fillId="0" borderId="11" xfId="0" applyNumberFormat="1" applyBorder="1"/>
    <xf numFmtId="0" fontId="2" fillId="0" borderId="7" xfId="0" applyFont="1" applyBorder="1" applyAlignment="1">
      <alignment horizontal="center"/>
    </xf>
    <xf numFmtId="0" fontId="0" fillId="0" borderId="0" xfId="0" quotePrefix="1"/>
    <xf numFmtId="0" fontId="1" fillId="0" borderId="0" xfId="0" applyFont="1" applyBorder="1"/>
    <xf numFmtId="0" fontId="2" fillId="0" borderId="7" xfId="0" applyFont="1" applyFill="1" applyBorder="1" applyAlignment="1">
      <alignment horizontal="center"/>
    </xf>
    <xf numFmtId="0" fontId="2" fillId="8" borderId="4" xfId="0" applyFont="1" applyFill="1" applyBorder="1" applyAlignment="1">
      <alignment horizontal="center" wrapText="1"/>
    </xf>
    <xf numFmtId="43" fontId="0" fillId="8" borderId="4" xfId="1" applyFont="1" applyFill="1" applyBorder="1"/>
    <xf numFmtId="43" fontId="0" fillId="8" borderId="10" xfId="1" applyFont="1" applyFill="1" applyBorder="1"/>
    <xf numFmtId="43" fontId="0" fillId="8" borderId="3" xfId="1" applyFont="1" applyFill="1" applyBorder="1"/>
    <xf numFmtId="43" fontId="0" fillId="8" borderId="8" xfId="1" applyFont="1" applyFill="1" applyBorder="1"/>
    <xf numFmtId="43" fontId="0" fillId="8" borderId="10" xfId="0" applyNumberFormat="1" applyFill="1" applyBorder="1"/>
    <xf numFmtId="0" fontId="0" fillId="8" borderId="10" xfId="0" applyFill="1" applyBorder="1"/>
    <xf numFmtId="43" fontId="2" fillId="8" borderId="12" xfId="0" applyNumberFormat="1" applyFont="1" applyFill="1" applyBorder="1"/>
    <xf numFmtId="43" fontId="0" fillId="8" borderId="4" xfId="0" applyNumberFormat="1" applyFill="1" applyBorder="1"/>
    <xf numFmtId="43" fontId="0" fillId="8" borderId="8" xfId="0" applyNumberFormat="1" applyFill="1" applyBorder="1"/>
    <xf numFmtId="0" fontId="0" fillId="8" borderId="0" xfId="0" applyFill="1"/>
    <xf numFmtId="0" fontId="0" fillId="8" borderId="8" xfId="0" applyFill="1" applyBorder="1"/>
    <xf numFmtId="43" fontId="0" fillId="8" borderId="11" xfId="1" applyFont="1" applyFill="1" applyBorder="1"/>
    <xf numFmtId="43" fontId="0" fillId="8" borderId="13" xfId="1" applyFont="1" applyFill="1" applyBorder="1"/>
    <xf numFmtId="43" fontId="1" fillId="8" borderId="13" xfId="1" applyFont="1" applyFill="1" applyBorder="1"/>
    <xf numFmtId="43" fontId="1" fillId="8" borderId="1" xfId="1" applyFont="1" applyFill="1" applyBorder="1"/>
    <xf numFmtId="43" fontId="1" fillId="8" borderId="8" xfId="1" applyFont="1" applyFill="1" applyBorder="1"/>
    <xf numFmtId="0" fontId="0" fillId="0" borderId="0" xfId="0" applyFill="1"/>
    <xf numFmtId="0" fontId="0" fillId="0" borderId="10" xfId="0" applyFill="1" applyBorder="1" applyAlignment="1">
      <alignment wrapText="1"/>
    </xf>
    <xf numFmtId="43" fontId="15" fillId="6" borderId="10" xfId="1" applyFont="1" applyFill="1" applyBorder="1"/>
    <xf numFmtId="43" fontId="0" fillId="3" borderId="3" xfId="0" applyNumberFormat="1" applyFill="1" applyBorder="1"/>
    <xf numFmtId="43" fontId="2" fillId="3" borderId="22" xfId="0" applyNumberFormat="1" applyFont="1" applyFill="1" applyBorder="1"/>
    <xf numFmtId="43" fontId="13" fillId="6" borderId="4" xfId="1" applyFont="1" applyFill="1" applyBorder="1"/>
    <xf numFmtId="44" fontId="13" fillId="6" borderId="6" xfId="0" applyNumberFormat="1" applyFont="1" applyFill="1" applyBorder="1"/>
    <xf numFmtId="44" fontId="14" fillId="5" borderId="6" xfId="0" applyNumberFormat="1" applyFont="1" applyFill="1" applyBorder="1"/>
    <xf numFmtId="43" fontId="13" fillId="6" borderId="10" xfId="1" applyFont="1" applyFill="1" applyBorder="1"/>
    <xf numFmtId="44" fontId="18" fillId="0" borderId="5" xfId="0" applyNumberFormat="1" applyFont="1" applyFill="1" applyBorder="1"/>
    <xf numFmtId="44" fontId="19" fillId="5" borderId="5" xfId="0" applyNumberFormat="1" applyFont="1" applyFill="1" applyBorder="1"/>
    <xf numFmtId="44" fontId="14" fillId="5" borderId="3" xfId="0" applyNumberFormat="1" applyFont="1" applyFill="1" applyBorder="1"/>
    <xf numFmtId="43" fontId="13" fillId="6" borderId="8" xfId="1" applyFont="1" applyFill="1" applyBorder="1"/>
    <xf numFmtId="44" fontId="13" fillId="6" borderId="4" xfId="0" applyNumberFormat="1" applyFont="1" applyFill="1" applyBorder="1"/>
    <xf numFmtId="0" fontId="2" fillId="0" borderId="7" xfId="0" applyFont="1" applyBorder="1" applyAlignment="1">
      <alignment horizontal="center"/>
    </xf>
    <xf numFmtId="0" fontId="20" fillId="0" borderId="0" xfId="0" applyFont="1" applyFill="1" applyBorder="1"/>
    <xf numFmtId="0" fontId="0" fillId="0" borderId="0" xfId="0" applyFont="1" applyFill="1" applyBorder="1"/>
    <xf numFmtId="43" fontId="13" fillId="0" borderId="0" xfId="1" applyFont="1"/>
    <xf numFmtId="14" fontId="21" fillId="0" borderId="0" xfId="0" applyNumberFormat="1" applyFont="1" applyAlignment="1">
      <alignment horizontal="center"/>
    </xf>
    <xf numFmtId="14" fontId="21" fillId="0" borderId="0" xfId="0" applyNumberFormat="1" applyFont="1"/>
    <xf numFmtId="43" fontId="15" fillId="3" borderId="10" xfId="1" applyFont="1" applyFill="1" applyBorder="1"/>
    <xf numFmtId="43" fontId="15" fillId="0" borderId="0" xfId="0" applyNumberFormat="1" applyFont="1"/>
    <xf numFmtId="43" fontId="13" fillId="0" borderId="0" xfId="0" applyNumberFormat="1" applyFont="1"/>
    <xf numFmtId="0" fontId="0" fillId="0" borderId="5" xfId="0" applyBorder="1"/>
    <xf numFmtId="43" fontId="0" fillId="0" borderId="5" xfId="1" applyFont="1" applyBorder="1"/>
    <xf numFmtId="0" fontId="0" fillId="6" borderId="10" xfId="0" applyFill="1" applyBorder="1"/>
    <xf numFmtId="43" fontId="2" fillId="0" borderId="8" xfId="1" applyFont="1" applyBorder="1"/>
    <xf numFmtId="0" fontId="2" fillId="0" borderId="5" xfId="0" applyFont="1" applyBorder="1"/>
    <xf numFmtId="43" fontId="1" fillId="0" borderId="11" xfId="1" applyFont="1" applyBorder="1"/>
    <xf numFmtId="43" fontId="1" fillId="0" borderId="10" xfId="1" applyFont="1" applyBorder="1"/>
    <xf numFmtId="43" fontId="13" fillId="3" borderId="10" xfId="1" applyFont="1" applyFill="1" applyBorder="1"/>
    <xf numFmtId="43" fontId="13" fillId="3" borderId="10" xfId="0" applyNumberFormat="1" applyFont="1" applyFill="1" applyBorder="1"/>
    <xf numFmtId="8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/>
    </xf>
    <xf numFmtId="0" fontId="2" fillId="0" borderId="7" xfId="0" applyFont="1" applyBorder="1" applyAlignment="1">
      <alignment horizontal="center"/>
    </xf>
  </cellXfs>
  <cellStyles count="4">
    <cellStyle name="Comma" xfId="1" builtinId="3"/>
    <cellStyle name="Comma 2" xfId="2"/>
    <cellStyle name="Normal" xfId="0" builtinId="0"/>
    <cellStyle name="Normal 2" xfId="3"/>
  </cellStyles>
  <dxfs count="0"/>
  <tableStyles count="0" defaultTableStyle="TableStyleMedium9" defaultPivotStyle="PivotStyleLight16"/>
  <colors>
    <mruColors>
      <color rgb="FF0000CC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36</xdr:row>
          <xdr:rowOff>0</xdr:rowOff>
        </xdr:from>
        <xdr:to>
          <xdr:col>4</xdr:col>
          <xdr:colOff>0</xdr:colOff>
          <xdr:row>37</xdr:row>
          <xdr:rowOff>66675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53</xdr:row>
          <xdr:rowOff>0</xdr:rowOff>
        </xdr:from>
        <xdr:to>
          <xdr:col>6</xdr:col>
          <xdr:colOff>1057275</xdr:colOff>
          <xdr:row>54</xdr:row>
          <xdr:rowOff>28575</xdr:rowOff>
        </xdr:to>
        <xdr:sp macro="" textlink="">
          <xdr:nvSpPr>
            <xdr:cNvPr id="2054" name="Object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59</xdr:row>
          <xdr:rowOff>0</xdr:rowOff>
        </xdr:from>
        <xdr:to>
          <xdr:col>6</xdr:col>
          <xdr:colOff>1066800</xdr:colOff>
          <xdr:row>60</xdr:row>
          <xdr:rowOff>19050</xdr:rowOff>
        </xdr:to>
        <xdr:sp macro="" textlink="">
          <xdr:nvSpPr>
            <xdr:cNvPr id="2056" name="Object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895350</xdr:colOff>
          <xdr:row>56</xdr:row>
          <xdr:rowOff>0</xdr:rowOff>
        </xdr:from>
        <xdr:to>
          <xdr:col>6</xdr:col>
          <xdr:colOff>1057275</xdr:colOff>
          <xdr:row>57</xdr:row>
          <xdr:rowOff>47625</xdr:rowOff>
        </xdr:to>
        <xdr:sp macro="" textlink="">
          <xdr:nvSpPr>
            <xdr:cNvPr id="2057" name="Object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895350</xdr:colOff>
          <xdr:row>49</xdr:row>
          <xdr:rowOff>0</xdr:rowOff>
        </xdr:from>
        <xdr:to>
          <xdr:col>6</xdr:col>
          <xdr:colOff>1057275</xdr:colOff>
          <xdr:row>50</xdr:row>
          <xdr:rowOff>28575</xdr:rowOff>
        </xdr:to>
        <xdr:sp macro="" textlink="">
          <xdr:nvSpPr>
            <xdr:cNvPr id="2058" name="Object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3.emf"/><Relationship Id="rId12" Type="http://schemas.openxmlformats.org/officeDocument/2006/relationships/comments" Target="../comments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3.bin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0" Type="http://schemas.openxmlformats.org/officeDocument/2006/relationships/oleObject" Target="../embeddings/oleObject5.bin"/><Relationship Id="rId4" Type="http://schemas.openxmlformats.org/officeDocument/2006/relationships/oleObject" Target="../embeddings/oleObject2.bin"/><Relationship Id="rId9" Type="http://schemas.openxmlformats.org/officeDocument/2006/relationships/image" Target="../media/image4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0"/>
  <sheetViews>
    <sheetView zoomScaleNormal="100" workbookViewId="0">
      <pane xSplit="2" ySplit="4" topLeftCell="E11" activePane="bottomRight" state="frozen"/>
      <selection pane="topRight" activeCell="C1" sqref="C1"/>
      <selection pane="bottomLeft" activeCell="A5" sqref="A5"/>
      <selection pane="bottomRight" activeCell="M39" sqref="M39"/>
    </sheetView>
  </sheetViews>
  <sheetFormatPr defaultRowHeight="12.75" x14ac:dyDescent="0.2"/>
  <cols>
    <col min="1" max="1" width="4.5703125" customWidth="1"/>
    <col min="2" max="2" width="19.140625" customWidth="1"/>
    <col min="3" max="9" width="12.7109375" customWidth="1"/>
    <col min="10" max="11" width="12.85546875" customWidth="1"/>
    <col min="12" max="15" width="12.7109375" customWidth="1"/>
  </cols>
  <sheetData>
    <row r="1" spans="1:15" x14ac:dyDescent="0.2">
      <c r="A1" s="66" t="s">
        <v>52</v>
      </c>
      <c r="B1" s="66"/>
    </row>
    <row r="2" spans="1:15" x14ac:dyDescent="0.2">
      <c r="A2" s="66" t="s">
        <v>53</v>
      </c>
      <c r="B2" s="66"/>
      <c r="I2" s="135" t="s">
        <v>88</v>
      </c>
    </row>
    <row r="3" spans="1:15" ht="13.5" thickBot="1" x14ac:dyDescent="0.25">
      <c r="I3" s="136">
        <v>41114</v>
      </c>
      <c r="O3" s="25"/>
    </row>
    <row r="4" spans="1:15" ht="68.25" customHeight="1" x14ac:dyDescent="0.2">
      <c r="A4" s="62" t="s">
        <v>20</v>
      </c>
      <c r="B4" s="63" t="s">
        <v>21</v>
      </c>
      <c r="C4" s="64" t="s">
        <v>50</v>
      </c>
      <c r="D4" s="63" t="s">
        <v>56</v>
      </c>
      <c r="E4" s="64" t="s">
        <v>57</v>
      </c>
      <c r="F4" s="63" t="s">
        <v>76</v>
      </c>
      <c r="G4" s="64" t="s">
        <v>81</v>
      </c>
      <c r="H4" s="114" t="s">
        <v>80</v>
      </c>
      <c r="I4" s="120" t="s">
        <v>79</v>
      </c>
      <c r="J4" s="65" t="s">
        <v>58</v>
      </c>
      <c r="K4" s="64" t="s">
        <v>84</v>
      </c>
      <c r="L4" s="63" t="s">
        <v>23</v>
      </c>
      <c r="M4" s="64" t="s">
        <v>85</v>
      </c>
      <c r="N4" s="65" t="s">
        <v>24</v>
      </c>
      <c r="O4" s="98" t="s">
        <v>35</v>
      </c>
    </row>
    <row r="5" spans="1:15" x14ac:dyDescent="0.2">
      <c r="A5" s="30">
        <v>113</v>
      </c>
      <c r="B5" t="s">
        <v>22</v>
      </c>
      <c r="C5" s="34">
        <v>325692</v>
      </c>
      <c r="D5" s="31"/>
      <c r="E5" s="34">
        <f>SUM(C5:D5)</f>
        <v>325692</v>
      </c>
      <c r="F5" s="31"/>
      <c r="G5" s="31"/>
      <c r="H5" s="31">
        <f>I5-C5</f>
        <v>-11200</v>
      </c>
      <c r="I5" s="121">
        <f>325692-11200</f>
        <v>314492</v>
      </c>
      <c r="J5" s="42">
        <v>94478.84</v>
      </c>
      <c r="K5" s="34">
        <v>147690.60999999999</v>
      </c>
      <c r="L5" s="42">
        <f>SUM(J5:K5)</f>
        <v>242169.44999999998</v>
      </c>
      <c r="M5" s="34">
        <f>SUM('TB CONTRL FY 12 SAL PROJ 070912'!F10)</f>
        <v>67850.53</v>
      </c>
      <c r="N5" s="42">
        <f>SUM(L5:M5)</f>
        <v>310019.98</v>
      </c>
      <c r="O5" s="99">
        <f>I5-N5</f>
        <v>4472.0200000000186</v>
      </c>
    </row>
    <row r="6" spans="1:15" x14ac:dyDescent="0.2">
      <c r="A6" s="30"/>
      <c r="B6" s="133" t="s">
        <v>90</v>
      </c>
      <c r="C6" s="35">
        <f>SUM(C5)</f>
        <v>325692</v>
      </c>
      <c r="D6" s="35"/>
      <c r="E6" s="35">
        <f>SUM(E5)</f>
        <v>325692</v>
      </c>
      <c r="F6" s="35"/>
      <c r="G6" s="35"/>
      <c r="H6" s="115">
        <f>SUM(H5)</f>
        <v>-11200</v>
      </c>
      <c r="I6" s="130">
        <f>SUM(I5)</f>
        <v>314492</v>
      </c>
      <c r="J6" s="46">
        <f t="shared" ref="J6:O6" si="0">SUM(J5)</f>
        <v>94478.84</v>
      </c>
      <c r="K6" s="35">
        <f t="shared" si="0"/>
        <v>147690.60999999999</v>
      </c>
      <c r="L6" s="35">
        <f t="shared" si="0"/>
        <v>242169.44999999998</v>
      </c>
      <c r="M6" s="35">
        <f t="shared" si="0"/>
        <v>67850.53</v>
      </c>
      <c r="N6" s="32">
        <f t="shared" si="0"/>
        <v>310019.98</v>
      </c>
      <c r="O6" s="102">
        <f t="shared" si="0"/>
        <v>4472.0200000000186</v>
      </c>
    </row>
    <row r="7" spans="1:15" x14ac:dyDescent="0.2">
      <c r="A7" s="30"/>
      <c r="C7" s="67"/>
      <c r="D7" s="67"/>
      <c r="E7" s="67"/>
      <c r="F7" s="67"/>
      <c r="G7" s="67"/>
      <c r="H7" s="67"/>
      <c r="I7" s="122"/>
      <c r="J7" s="40"/>
      <c r="K7" s="36"/>
      <c r="L7" s="28"/>
      <c r="M7" s="36"/>
      <c r="N7" s="44"/>
      <c r="O7" s="36"/>
    </row>
    <row r="8" spans="1:15" x14ac:dyDescent="0.2">
      <c r="A8" s="30">
        <v>211</v>
      </c>
      <c r="B8" t="s">
        <v>25</v>
      </c>
      <c r="C8" s="67">
        <v>36054</v>
      </c>
      <c r="D8" s="67"/>
      <c r="E8" s="36">
        <f t="shared" ref="E8:E13" si="1">SUM(C8:D8)</f>
        <v>36054</v>
      </c>
      <c r="F8" s="36"/>
      <c r="G8" s="67"/>
      <c r="H8" s="31">
        <f t="shared" ref="H8:H13" si="2">I8-C8</f>
        <v>0</v>
      </c>
      <c r="I8" s="123">
        <v>36054</v>
      </c>
      <c r="J8" s="28">
        <v>7262.66</v>
      </c>
      <c r="K8" s="36">
        <v>15666.89</v>
      </c>
      <c r="L8" s="28">
        <f t="shared" ref="L8:L13" si="3">SUM(J8:K8)</f>
        <v>22929.55</v>
      </c>
      <c r="M8" s="36">
        <f>SUM('TB CONTRL FY 12 SAL PROJ 070912'!F13)</f>
        <v>7832.7000000000007</v>
      </c>
      <c r="N8" s="44">
        <f t="shared" ref="N8:N13" si="4">SUM(L8:M8)</f>
        <v>30762.25</v>
      </c>
      <c r="O8" s="103">
        <f t="shared" ref="O8:O13" si="5">I8-N8</f>
        <v>5291.75</v>
      </c>
    </row>
    <row r="9" spans="1:15" x14ac:dyDescent="0.2">
      <c r="A9" s="30">
        <v>212</v>
      </c>
      <c r="B9" t="s">
        <v>26</v>
      </c>
      <c r="C9" s="67">
        <v>234</v>
      </c>
      <c r="D9" s="67"/>
      <c r="E9" s="36">
        <f t="shared" si="1"/>
        <v>234</v>
      </c>
      <c r="F9" s="36"/>
      <c r="G9" s="67"/>
      <c r="H9" s="31">
        <f t="shared" si="2"/>
        <v>0</v>
      </c>
      <c r="I9" s="123">
        <v>234</v>
      </c>
      <c r="J9" s="28">
        <v>48.72</v>
      </c>
      <c r="K9" s="36">
        <v>115.17</v>
      </c>
      <c r="L9" s="28">
        <f t="shared" si="3"/>
        <v>163.89</v>
      </c>
      <c r="M9" s="36">
        <f>SUM('TB CONTRL FY 12 SAL PROJ 070912'!F14)</f>
        <v>57.599999999999994</v>
      </c>
      <c r="N9" s="44">
        <f t="shared" si="4"/>
        <v>221.48999999999998</v>
      </c>
      <c r="O9" s="103">
        <f t="shared" si="5"/>
        <v>12.510000000000019</v>
      </c>
    </row>
    <row r="10" spans="1:15" x14ac:dyDescent="0.2">
      <c r="A10" s="30">
        <v>220</v>
      </c>
      <c r="B10" t="s">
        <v>27</v>
      </c>
      <c r="C10" s="67">
        <v>24913</v>
      </c>
      <c r="D10" s="67"/>
      <c r="E10" s="36">
        <f t="shared" si="1"/>
        <v>24913</v>
      </c>
      <c r="F10" s="36"/>
      <c r="G10" s="67"/>
      <c r="H10" s="31">
        <f t="shared" si="2"/>
        <v>0</v>
      </c>
      <c r="I10" s="123">
        <v>24913</v>
      </c>
      <c r="J10" s="28">
        <v>7115.58</v>
      </c>
      <c r="K10" s="36">
        <v>11102.01</v>
      </c>
      <c r="L10" s="28">
        <f t="shared" si="3"/>
        <v>18217.59</v>
      </c>
      <c r="M10" s="36">
        <f>SUM('TB CONTRL FY 12 SAL PROJ 070912'!F15)</f>
        <v>5091.9549999999999</v>
      </c>
      <c r="N10" s="44">
        <f t="shared" si="4"/>
        <v>23309.544999999998</v>
      </c>
      <c r="O10" s="103">
        <f t="shared" si="5"/>
        <v>1603.4550000000017</v>
      </c>
    </row>
    <row r="11" spans="1:15" x14ac:dyDescent="0.2">
      <c r="A11" s="30">
        <v>230</v>
      </c>
      <c r="B11" t="s">
        <v>28</v>
      </c>
      <c r="C11" s="67">
        <v>31263</v>
      </c>
      <c r="D11" s="67"/>
      <c r="E11" s="36">
        <f t="shared" si="1"/>
        <v>31263</v>
      </c>
      <c r="F11" s="36"/>
      <c r="G11" s="67"/>
      <c r="H11" s="31">
        <f t="shared" si="2"/>
        <v>0</v>
      </c>
      <c r="I11" s="123">
        <v>31263</v>
      </c>
      <c r="J11" s="28">
        <v>9112.58</v>
      </c>
      <c r="K11" s="36">
        <v>14694.81</v>
      </c>
      <c r="L11" s="28">
        <f t="shared" si="3"/>
        <v>23807.39</v>
      </c>
      <c r="M11" s="36">
        <f>SUM('TB CONTRL FY 12 SAL PROJ 070912'!F16)</f>
        <v>6750.92</v>
      </c>
      <c r="N11" s="44">
        <f t="shared" si="4"/>
        <v>30558.309999999998</v>
      </c>
      <c r="O11" s="103">
        <f t="shared" si="5"/>
        <v>704.69000000000233</v>
      </c>
    </row>
    <row r="12" spans="1:15" x14ac:dyDescent="0.2">
      <c r="A12" s="30">
        <v>250</v>
      </c>
      <c r="B12" t="s">
        <v>29</v>
      </c>
      <c r="C12" s="67">
        <v>3257</v>
      </c>
      <c r="D12" s="67"/>
      <c r="E12" s="36">
        <f t="shared" si="1"/>
        <v>3257</v>
      </c>
      <c r="F12" s="36"/>
      <c r="G12" s="67"/>
      <c r="H12" s="31">
        <f t="shared" si="2"/>
        <v>0</v>
      </c>
      <c r="I12" s="123">
        <v>3257</v>
      </c>
      <c r="J12" s="28">
        <v>472.44</v>
      </c>
      <c r="K12" s="36">
        <v>738.35</v>
      </c>
      <c r="L12" s="28">
        <f t="shared" si="3"/>
        <v>1210.79</v>
      </c>
      <c r="M12" s="36">
        <f>SUM('TB CONTRL FY 12 SAL PROJ 070912'!F17)</f>
        <v>683.73500000000001</v>
      </c>
      <c r="N12" s="44">
        <f t="shared" si="4"/>
        <v>1894.5250000000001</v>
      </c>
      <c r="O12" s="103">
        <f t="shared" si="5"/>
        <v>1362.4749999999999</v>
      </c>
    </row>
    <row r="13" spans="1:15" x14ac:dyDescent="0.2">
      <c r="A13" s="30">
        <v>260</v>
      </c>
      <c r="B13" t="s">
        <v>30</v>
      </c>
      <c r="C13" s="33">
        <v>4299</v>
      </c>
      <c r="D13" s="33"/>
      <c r="E13" s="37">
        <f t="shared" si="1"/>
        <v>4299</v>
      </c>
      <c r="F13" s="37"/>
      <c r="G13" s="33"/>
      <c r="H13" s="31">
        <f t="shared" si="2"/>
        <v>-4299</v>
      </c>
      <c r="I13" s="124">
        <f>4299-4299</f>
        <v>0</v>
      </c>
      <c r="J13" s="29">
        <v>0</v>
      </c>
      <c r="K13" s="37"/>
      <c r="L13" s="37">
        <f t="shared" si="3"/>
        <v>0</v>
      </c>
      <c r="M13" s="37"/>
      <c r="N13" s="33">
        <f t="shared" si="4"/>
        <v>0</v>
      </c>
      <c r="O13" s="104">
        <f t="shared" si="5"/>
        <v>0</v>
      </c>
    </row>
    <row r="14" spans="1:15" x14ac:dyDescent="0.2">
      <c r="A14" s="30"/>
      <c r="B14" s="133" t="s">
        <v>89</v>
      </c>
      <c r="C14" s="35">
        <f>SUM(C8:C13)</f>
        <v>100020</v>
      </c>
      <c r="D14" s="35"/>
      <c r="E14" s="35">
        <f>SUM(E8:E13)</f>
        <v>100020</v>
      </c>
      <c r="F14" s="35"/>
      <c r="G14" s="35"/>
      <c r="H14" s="115">
        <f>SUM(H8:H13)</f>
        <v>-4299</v>
      </c>
      <c r="I14" s="130">
        <f>SUM(I8:I13)</f>
        <v>95721</v>
      </c>
      <c r="J14" s="46">
        <f t="shared" ref="J14:O14" si="6">SUM(J8:J13)</f>
        <v>24011.98</v>
      </c>
      <c r="K14" s="35">
        <f t="shared" si="6"/>
        <v>42317.229999999996</v>
      </c>
      <c r="L14" s="35">
        <f t="shared" si="6"/>
        <v>66329.209999999992</v>
      </c>
      <c r="M14" s="35">
        <f t="shared" si="6"/>
        <v>20416.910000000003</v>
      </c>
      <c r="N14" s="35">
        <f t="shared" si="6"/>
        <v>86746.12</v>
      </c>
      <c r="O14" s="102">
        <f t="shared" si="6"/>
        <v>8974.8800000000047</v>
      </c>
    </row>
    <row r="15" spans="1:15" x14ac:dyDescent="0.2">
      <c r="A15" s="30"/>
      <c r="C15" s="36"/>
      <c r="D15" s="36"/>
      <c r="E15" s="36"/>
      <c r="F15" s="36"/>
      <c r="G15" s="36"/>
      <c r="H15" s="67"/>
      <c r="I15" s="122"/>
      <c r="J15" s="28"/>
      <c r="K15" s="36"/>
      <c r="L15" s="28"/>
      <c r="M15" s="36"/>
      <c r="N15" s="40"/>
      <c r="O15" s="36"/>
    </row>
    <row r="16" spans="1:15" x14ac:dyDescent="0.2">
      <c r="A16" s="30">
        <v>581</v>
      </c>
      <c r="B16" t="s">
        <v>31</v>
      </c>
      <c r="C16" s="36">
        <v>1650</v>
      </c>
      <c r="D16" s="36"/>
      <c r="E16" s="36">
        <f>SUM(C16:D16)</f>
        <v>1650</v>
      </c>
      <c r="F16" s="36"/>
      <c r="G16" s="67"/>
      <c r="H16" s="31">
        <f>I16-C16</f>
        <v>0</v>
      </c>
      <c r="I16" s="125">
        <v>1650</v>
      </c>
      <c r="J16" s="28">
        <v>626.37</v>
      </c>
      <c r="K16" s="36">
        <v>678.78</v>
      </c>
      <c r="L16" s="28">
        <f>SUM(J16:K16)</f>
        <v>1305.1500000000001</v>
      </c>
      <c r="M16" s="67">
        <v>88</v>
      </c>
      <c r="N16" s="36">
        <f>SUM(L16:M16)</f>
        <v>1393.15</v>
      </c>
      <c r="O16" s="108">
        <f>I16-N16</f>
        <v>256.84999999999991</v>
      </c>
    </row>
    <row r="17" spans="1:15" x14ac:dyDescent="0.2">
      <c r="A17" s="30">
        <v>583</v>
      </c>
      <c r="B17" t="s">
        <v>32</v>
      </c>
      <c r="C17" s="37">
        <v>0</v>
      </c>
      <c r="D17" s="37"/>
      <c r="E17" s="37"/>
      <c r="F17" s="37"/>
      <c r="G17" s="33"/>
      <c r="H17" s="31">
        <f>I17-C17</f>
        <v>425</v>
      </c>
      <c r="I17" s="124">
        <v>425</v>
      </c>
      <c r="J17" s="29"/>
      <c r="K17" s="37"/>
      <c r="L17" s="37">
        <f>SUM(J17:K17)</f>
        <v>0</v>
      </c>
      <c r="M17" s="37">
        <v>418.2</v>
      </c>
      <c r="N17" s="43">
        <f>SUM(L17:M17)</f>
        <v>418.2</v>
      </c>
      <c r="O17" s="108">
        <f>I17-N17</f>
        <v>6.8000000000000114</v>
      </c>
    </row>
    <row r="18" spans="1:15" x14ac:dyDescent="0.2">
      <c r="A18" s="30"/>
      <c r="B18" s="133" t="s">
        <v>91</v>
      </c>
      <c r="C18" s="35">
        <f>SUM(C16:C17)</f>
        <v>1650</v>
      </c>
      <c r="D18" s="35"/>
      <c r="E18" s="35">
        <f>SUM(E16:E17)</f>
        <v>1650</v>
      </c>
      <c r="F18" s="35"/>
      <c r="G18" s="35"/>
      <c r="H18" s="117">
        <f>SUM(H16:H17)</f>
        <v>425</v>
      </c>
      <c r="I18" s="130">
        <f>SUM(I16:I17)</f>
        <v>2075</v>
      </c>
      <c r="J18" s="46">
        <f t="shared" ref="J18:O18" si="7">SUM(J16:J17)</f>
        <v>626.37</v>
      </c>
      <c r="K18" s="35">
        <f t="shared" si="7"/>
        <v>678.78</v>
      </c>
      <c r="L18" s="35">
        <f t="shared" si="7"/>
        <v>1305.1500000000001</v>
      </c>
      <c r="M18" s="35">
        <f t="shared" si="7"/>
        <v>506.2</v>
      </c>
      <c r="N18" s="32">
        <f t="shared" si="7"/>
        <v>1811.3500000000001</v>
      </c>
      <c r="O18" s="105">
        <f t="shared" si="7"/>
        <v>263.64999999999992</v>
      </c>
    </row>
    <row r="19" spans="1:15" x14ac:dyDescent="0.2">
      <c r="A19" s="30"/>
      <c r="B19" s="1"/>
      <c r="C19" s="52"/>
      <c r="D19" s="52"/>
      <c r="E19" s="52"/>
      <c r="F19" s="52"/>
      <c r="G19" s="52"/>
      <c r="H19" s="95"/>
      <c r="I19" s="126"/>
      <c r="J19" s="55"/>
      <c r="K19" s="52"/>
      <c r="L19" s="55"/>
      <c r="M19" s="52"/>
      <c r="N19" s="55"/>
      <c r="O19" s="52"/>
    </row>
    <row r="20" spans="1:15" x14ac:dyDescent="0.2">
      <c r="A20" s="30">
        <v>748</v>
      </c>
      <c r="B20" s="91"/>
      <c r="C20" s="37"/>
      <c r="D20" s="37"/>
      <c r="E20" s="37"/>
      <c r="F20" s="37">
        <v>3240</v>
      </c>
      <c r="G20" s="33"/>
      <c r="H20" s="111">
        <v>0</v>
      </c>
      <c r="I20" s="127">
        <f>SUM(F20)</f>
        <v>3240</v>
      </c>
      <c r="J20" s="29"/>
      <c r="K20" s="37"/>
      <c r="L20" s="29"/>
      <c r="M20" s="110">
        <v>2597.59</v>
      </c>
      <c r="N20" s="33">
        <f>SUM(L20:M20)</f>
        <v>2597.59</v>
      </c>
      <c r="O20" s="104">
        <f>I20-N20</f>
        <v>642.40999999999985</v>
      </c>
    </row>
    <row r="21" spans="1:15" x14ac:dyDescent="0.2">
      <c r="A21" s="30"/>
      <c r="B21" s="133" t="s">
        <v>92</v>
      </c>
      <c r="C21" s="35"/>
      <c r="D21" s="35"/>
      <c r="E21" s="35"/>
      <c r="F21" s="35">
        <f>SUM(F20)</f>
        <v>3240</v>
      </c>
      <c r="G21" s="35"/>
      <c r="H21" s="32">
        <f>SUM(H20)</f>
        <v>0</v>
      </c>
      <c r="I21" s="130">
        <f>SUM(I20)</f>
        <v>3240</v>
      </c>
      <c r="J21" s="48"/>
      <c r="K21" s="35"/>
      <c r="L21" s="48"/>
      <c r="M21" s="35"/>
      <c r="N21" s="49"/>
      <c r="O21" s="102">
        <f>SUM(O20:O20)</f>
        <v>642.40999999999985</v>
      </c>
    </row>
    <row r="22" spans="1:15" x14ac:dyDescent="0.2">
      <c r="A22" s="30"/>
      <c r="C22" s="36"/>
      <c r="D22" s="36"/>
      <c r="E22" s="36"/>
      <c r="F22" s="36"/>
      <c r="G22" s="36"/>
      <c r="H22" s="67"/>
      <c r="I22" s="122"/>
      <c r="J22" s="28"/>
      <c r="K22" s="36"/>
      <c r="L22" s="28"/>
      <c r="M22" s="36"/>
      <c r="N22" s="44"/>
      <c r="O22" s="36"/>
    </row>
    <row r="23" spans="1:15" x14ac:dyDescent="0.2">
      <c r="A23" s="30">
        <v>601</v>
      </c>
      <c r="B23" t="s">
        <v>33</v>
      </c>
      <c r="C23" s="36">
        <v>5145</v>
      </c>
      <c r="D23" s="36">
        <v>8000</v>
      </c>
      <c r="E23" s="36">
        <f>SUM(C23:D23)</f>
        <v>13145</v>
      </c>
      <c r="F23" s="36"/>
      <c r="G23" s="67">
        <v>6000</v>
      </c>
      <c r="H23" s="31">
        <v>15550</v>
      </c>
      <c r="I23" s="125">
        <f>11395+5000-2500+6000+9800+5000</f>
        <v>34695</v>
      </c>
      <c r="J23" s="44">
        <v>0</v>
      </c>
      <c r="K23" s="36">
        <v>8581.8700000000008</v>
      </c>
      <c r="L23" s="44">
        <f>SUM(J23:K23)</f>
        <v>8581.8700000000008</v>
      </c>
      <c r="M23" s="109">
        <f>1770.94+23388.13</f>
        <v>25159.07</v>
      </c>
      <c r="N23" s="44">
        <f t="shared" ref="N23:N30" si="8">SUM(L23:M23)</f>
        <v>33740.94</v>
      </c>
      <c r="O23" s="108">
        <f t="shared" ref="O23:O30" si="9">I23-N23</f>
        <v>954.05999999999767</v>
      </c>
    </row>
    <row r="24" spans="1:15" x14ac:dyDescent="0.2">
      <c r="A24" s="30">
        <v>604</v>
      </c>
      <c r="B24" t="s">
        <v>46</v>
      </c>
      <c r="C24" s="36">
        <v>2000</v>
      </c>
      <c r="D24" s="36">
        <v>8000</v>
      </c>
      <c r="E24" s="36">
        <f>SUM(C24:D24)</f>
        <v>10000</v>
      </c>
      <c r="F24" s="36"/>
      <c r="G24" s="67">
        <v>6000</v>
      </c>
      <c r="H24" s="111">
        <v>4299</v>
      </c>
      <c r="I24" s="125">
        <f>10000+4299+6000</f>
        <v>20299</v>
      </c>
      <c r="J24" s="44">
        <v>3073.08</v>
      </c>
      <c r="K24" s="36">
        <v>340</v>
      </c>
      <c r="L24" s="44">
        <f t="shared" ref="L24:L30" si="10">SUM(J24:K24)</f>
        <v>3413.08</v>
      </c>
      <c r="M24" s="52">
        <f>724.08+6591.6+636.22</f>
        <v>7951.9000000000005</v>
      </c>
      <c r="N24" s="44">
        <f t="shared" si="8"/>
        <v>11364.98</v>
      </c>
      <c r="O24" s="108">
        <f t="shared" si="9"/>
        <v>8934.02</v>
      </c>
    </row>
    <row r="25" spans="1:15" x14ac:dyDescent="0.2">
      <c r="A25" s="30">
        <v>605</v>
      </c>
      <c r="B25" t="s">
        <v>96</v>
      </c>
      <c r="C25" s="36"/>
      <c r="D25" s="36"/>
      <c r="E25" s="36"/>
      <c r="F25" s="36"/>
      <c r="G25" s="67"/>
      <c r="H25" s="111">
        <v>1158.93</v>
      </c>
      <c r="I25" s="125">
        <v>1158.93</v>
      </c>
      <c r="J25" s="44"/>
      <c r="K25" s="36"/>
      <c r="L25" s="44"/>
      <c r="M25" s="52">
        <v>1135.6400000000001</v>
      </c>
      <c r="N25" s="44">
        <f t="shared" si="8"/>
        <v>1135.6400000000001</v>
      </c>
      <c r="O25" s="108">
        <f t="shared" si="9"/>
        <v>23.289999999999964</v>
      </c>
    </row>
    <row r="26" spans="1:15" x14ac:dyDescent="0.2">
      <c r="A26" s="30">
        <v>607</v>
      </c>
      <c r="B26" t="s">
        <v>73</v>
      </c>
      <c r="C26" s="36">
        <v>0</v>
      </c>
      <c r="D26" s="36"/>
      <c r="E26" s="36"/>
      <c r="F26" s="36"/>
      <c r="G26" s="67"/>
      <c r="H26" s="111">
        <f>I26-C26</f>
        <v>4575</v>
      </c>
      <c r="I26" s="125">
        <f>5000-425</f>
        <v>4575</v>
      </c>
      <c r="J26" s="44"/>
      <c r="K26" s="109">
        <v>2761.4</v>
      </c>
      <c r="L26" s="44">
        <f t="shared" si="10"/>
        <v>2761.4</v>
      </c>
      <c r="M26" s="109">
        <v>508.4</v>
      </c>
      <c r="N26" s="44">
        <f t="shared" si="8"/>
        <v>3269.8</v>
      </c>
      <c r="O26" s="108">
        <f t="shared" si="9"/>
        <v>1305.1999999999998</v>
      </c>
    </row>
    <row r="27" spans="1:15" x14ac:dyDescent="0.2">
      <c r="A27" s="30">
        <v>619</v>
      </c>
      <c r="B27" t="s">
        <v>74</v>
      </c>
      <c r="C27" s="36">
        <v>0</v>
      </c>
      <c r="D27" s="36"/>
      <c r="E27" s="36"/>
      <c r="F27" s="36"/>
      <c r="G27" s="67"/>
      <c r="H27" s="111">
        <f>I27-C27</f>
        <v>41.07000000000005</v>
      </c>
      <c r="I27" s="125">
        <f>200+2500-1925-733.93</f>
        <v>41.07000000000005</v>
      </c>
      <c r="J27" s="44"/>
      <c r="K27" s="36">
        <v>41.07</v>
      </c>
      <c r="L27" s="44">
        <f t="shared" si="10"/>
        <v>41.07</v>
      </c>
      <c r="M27" s="113">
        <v>0</v>
      </c>
      <c r="N27" s="44">
        <f t="shared" si="8"/>
        <v>41.07</v>
      </c>
      <c r="O27" s="108">
        <f t="shared" si="9"/>
        <v>0</v>
      </c>
    </row>
    <row r="28" spans="1:15" x14ac:dyDescent="0.2">
      <c r="A28" s="30">
        <v>661</v>
      </c>
      <c r="B28" t="s">
        <v>82</v>
      </c>
      <c r="C28" s="36">
        <v>0</v>
      </c>
      <c r="D28" s="36"/>
      <c r="E28" s="36"/>
      <c r="F28" s="36"/>
      <c r="G28" s="67"/>
      <c r="H28" s="111">
        <f>2900+1500</f>
        <v>4400</v>
      </c>
      <c r="I28" s="125">
        <f>2900+1500</f>
        <v>4400</v>
      </c>
      <c r="J28" s="44"/>
      <c r="K28" s="36"/>
      <c r="L28" s="44">
        <f t="shared" si="10"/>
        <v>0</v>
      </c>
      <c r="M28" s="113">
        <v>4384.8999999999996</v>
      </c>
      <c r="N28" s="44">
        <f t="shared" si="8"/>
        <v>4384.8999999999996</v>
      </c>
      <c r="O28" s="108">
        <f t="shared" si="9"/>
        <v>15.100000000000364</v>
      </c>
    </row>
    <row r="29" spans="1:15" x14ac:dyDescent="0.2">
      <c r="A29" s="30">
        <v>672</v>
      </c>
      <c r="B29" t="s">
        <v>75</v>
      </c>
      <c r="C29" s="36">
        <v>0</v>
      </c>
      <c r="D29" s="36"/>
      <c r="E29" s="36"/>
      <c r="F29" s="36"/>
      <c r="G29" s="67"/>
      <c r="H29" s="112">
        <f>I29-C29</f>
        <v>450</v>
      </c>
      <c r="I29" s="125">
        <v>450</v>
      </c>
      <c r="J29" s="44">
        <v>435.39</v>
      </c>
      <c r="K29" s="36"/>
      <c r="L29" s="44">
        <f t="shared" si="10"/>
        <v>435.39</v>
      </c>
      <c r="M29" s="36"/>
      <c r="N29" s="44">
        <f t="shared" si="8"/>
        <v>435.39</v>
      </c>
      <c r="O29" s="108">
        <f t="shared" si="9"/>
        <v>14.610000000000014</v>
      </c>
    </row>
    <row r="30" spans="1:15" x14ac:dyDescent="0.2">
      <c r="A30" s="30">
        <v>743</v>
      </c>
      <c r="B30" t="s">
        <v>83</v>
      </c>
      <c r="C30" s="29">
        <v>0</v>
      </c>
      <c r="D30" s="37"/>
      <c r="E30" s="29"/>
      <c r="F30" s="37"/>
      <c r="G30" s="29"/>
      <c r="H30" s="116">
        <v>3500</v>
      </c>
      <c r="I30" s="127">
        <v>3500</v>
      </c>
      <c r="J30" s="43"/>
      <c r="K30" s="29"/>
      <c r="L30" s="37">
        <f t="shared" si="10"/>
        <v>0</v>
      </c>
      <c r="M30" s="29">
        <v>3310.95</v>
      </c>
      <c r="N30" s="37">
        <f t="shared" si="8"/>
        <v>3310.95</v>
      </c>
      <c r="O30" s="104">
        <f t="shared" si="9"/>
        <v>189.05000000000018</v>
      </c>
    </row>
    <row r="31" spans="1:15" x14ac:dyDescent="0.2">
      <c r="A31" s="30"/>
      <c r="B31" s="133" t="s">
        <v>93</v>
      </c>
      <c r="C31" s="35">
        <f>SUM(C23:C30)</f>
        <v>7145</v>
      </c>
      <c r="D31" s="35">
        <f>SUM(D23:D29)</f>
        <v>16000</v>
      </c>
      <c r="E31" s="35">
        <f>SUM(E23:E29)</f>
        <v>23145</v>
      </c>
      <c r="F31" s="35"/>
      <c r="G31" s="35">
        <f>SUM(G23:G29)</f>
        <v>12000</v>
      </c>
      <c r="H31" s="117">
        <f>SUM(H23:H30)</f>
        <v>33974</v>
      </c>
      <c r="I31" s="130">
        <f>SUM(I23:I30)</f>
        <v>69119</v>
      </c>
      <c r="J31" s="46">
        <f>SUM(J23:J29)</f>
        <v>3508.47</v>
      </c>
      <c r="K31" s="35">
        <f>SUM(K23:K29)</f>
        <v>11724.34</v>
      </c>
      <c r="L31" s="35">
        <f>SUM(L23:L29)</f>
        <v>15232.81</v>
      </c>
      <c r="M31" s="35">
        <f>SUM(M23:M24)</f>
        <v>33110.97</v>
      </c>
      <c r="N31" s="35">
        <f>SUM(N23:N29)</f>
        <v>54372.72</v>
      </c>
      <c r="O31" s="102">
        <f>SUM(O23:O30)</f>
        <v>11435.330000000002</v>
      </c>
    </row>
    <row r="32" spans="1:15" x14ac:dyDescent="0.2">
      <c r="A32" s="30"/>
      <c r="C32" s="52"/>
      <c r="D32" s="52"/>
      <c r="E32" s="52"/>
      <c r="F32" s="52"/>
      <c r="G32" s="52"/>
      <c r="H32" s="95"/>
      <c r="I32" s="126"/>
      <c r="J32" s="55"/>
      <c r="K32" s="52"/>
      <c r="L32" s="55"/>
      <c r="M32" s="52"/>
      <c r="N32" s="55"/>
      <c r="O32" s="52"/>
    </row>
    <row r="33" spans="1:15" x14ac:dyDescent="0.2">
      <c r="A33" s="30">
        <v>339</v>
      </c>
      <c r="B33" t="s">
        <v>54</v>
      </c>
      <c r="C33" s="36">
        <v>9000</v>
      </c>
      <c r="D33" s="36"/>
      <c r="E33" s="36">
        <f>SUM(C33:D33)</f>
        <v>9000</v>
      </c>
      <c r="F33" s="36">
        <v>15000</v>
      </c>
      <c r="G33" s="67"/>
      <c r="H33" s="31">
        <v>-21200</v>
      </c>
      <c r="I33" s="127">
        <f>SUM(E33:F33)-16200-5000</f>
        <v>2800</v>
      </c>
      <c r="J33" s="28"/>
      <c r="K33" s="36"/>
      <c r="L33" s="44"/>
      <c r="M33" s="67"/>
      <c r="N33" s="36"/>
      <c r="O33" s="108">
        <f>I33-N33</f>
        <v>2800</v>
      </c>
    </row>
    <row r="34" spans="1:15" x14ac:dyDescent="0.2">
      <c r="A34" s="30"/>
      <c r="B34" s="133" t="s">
        <v>94</v>
      </c>
      <c r="C34" s="35">
        <f>SUM(C33:C33)</f>
        <v>9000</v>
      </c>
      <c r="D34" s="35"/>
      <c r="E34" s="35">
        <f>SUM(E33:E33)</f>
        <v>9000</v>
      </c>
      <c r="F34" s="35">
        <f>SUM(F33:F33)</f>
        <v>15000</v>
      </c>
      <c r="G34" s="35"/>
      <c r="H34" s="115">
        <f>SUM(H33:H33)</f>
        <v>-21200</v>
      </c>
      <c r="I34" s="130">
        <f>SUM(I33:I33)</f>
        <v>2800</v>
      </c>
      <c r="J34" s="46">
        <f>SUM(J33:J33)</f>
        <v>0</v>
      </c>
      <c r="K34" s="35">
        <f>SUM(K33:K33)</f>
        <v>0</v>
      </c>
      <c r="L34" s="48">
        <f>SUM(J34:K34)</f>
        <v>0</v>
      </c>
      <c r="M34" s="35">
        <v>0</v>
      </c>
      <c r="N34" s="49">
        <f>SUM(L34:M34)</f>
        <v>0</v>
      </c>
      <c r="O34" s="102">
        <f>SUM(O33:O33)</f>
        <v>2800</v>
      </c>
    </row>
    <row r="35" spans="1:15" x14ac:dyDescent="0.2">
      <c r="A35" s="30"/>
      <c r="C35" s="52"/>
      <c r="D35" s="52"/>
      <c r="E35" s="52"/>
      <c r="F35" s="52"/>
      <c r="G35" s="52"/>
      <c r="H35" s="95"/>
      <c r="I35" s="126"/>
      <c r="J35" s="54"/>
      <c r="K35" s="52"/>
      <c r="L35" s="54"/>
      <c r="M35" s="52"/>
      <c r="N35" s="55"/>
      <c r="O35" s="52"/>
    </row>
    <row r="36" spans="1:15" x14ac:dyDescent="0.2">
      <c r="A36" s="30">
        <v>336</v>
      </c>
      <c r="B36" t="s">
        <v>60</v>
      </c>
      <c r="C36" s="52"/>
      <c r="D36" s="52"/>
      <c r="E36" s="52"/>
      <c r="F36" s="52"/>
      <c r="G36" s="95"/>
      <c r="H36" s="31">
        <f t="shared" ref="H36:H42" si="11">I36-C36</f>
        <v>2796</v>
      </c>
      <c r="I36" s="125">
        <v>2796</v>
      </c>
      <c r="J36" s="54"/>
      <c r="K36" s="52"/>
      <c r="L36" s="44">
        <f>SUM(J36:K36)</f>
        <v>0</v>
      </c>
      <c r="M36" s="52"/>
      <c r="N36" s="44">
        <f t="shared" ref="N36:N42" si="12">SUM(L36:M36)</f>
        <v>0</v>
      </c>
      <c r="O36" s="108">
        <f t="shared" ref="O36:O42" si="13">I36-N36</f>
        <v>2796</v>
      </c>
    </row>
    <row r="37" spans="1:15" x14ac:dyDescent="0.2">
      <c r="A37" s="30">
        <v>350</v>
      </c>
      <c r="B37" t="s">
        <v>61</v>
      </c>
      <c r="C37" s="52"/>
      <c r="D37" s="52"/>
      <c r="E37" s="52"/>
      <c r="F37" s="52"/>
      <c r="G37" s="95"/>
      <c r="H37" s="31">
        <f t="shared" si="11"/>
        <v>800</v>
      </c>
      <c r="I37" s="125">
        <v>800</v>
      </c>
      <c r="J37" s="54"/>
      <c r="K37" s="52"/>
      <c r="L37" s="44"/>
      <c r="M37" s="52"/>
      <c r="N37" s="44"/>
      <c r="O37" s="108">
        <f t="shared" si="13"/>
        <v>800</v>
      </c>
    </row>
    <row r="38" spans="1:15" x14ac:dyDescent="0.2">
      <c r="A38" s="30">
        <v>431</v>
      </c>
      <c r="B38" t="s">
        <v>55</v>
      </c>
      <c r="C38" s="52">
        <v>9000</v>
      </c>
      <c r="D38" s="52"/>
      <c r="E38" s="36">
        <f>SUM(C38:D38)</f>
        <v>9000</v>
      </c>
      <c r="F38" s="36"/>
      <c r="G38" s="67"/>
      <c r="H38" s="31">
        <f t="shared" si="11"/>
        <v>0</v>
      </c>
      <c r="I38" s="125">
        <v>9000</v>
      </c>
      <c r="J38" s="54"/>
      <c r="K38" s="52"/>
      <c r="L38" s="44"/>
      <c r="M38" s="52">
        <v>8780</v>
      </c>
      <c r="N38" s="44">
        <f t="shared" si="12"/>
        <v>8780</v>
      </c>
      <c r="O38" s="108">
        <f t="shared" si="13"/>
        <v>220</v>
      </c>
    </row>
    <row r="39" spans="1:15" x14ac:dyDescent="0.2">
      <c r="A39" s="30">
        <v>432</v>
      </c>
      <c r="B39" t="s">
        <v>77</v>
      </c>
      <c r="C39" s="52">
        <v>0</v>
      </c>
      <c r="D39" s="52">
        <v>0</v>
      </c>
      <c r="E39" s="36">
        <v>0</v>
      </c>
      <c r="F39" s="36">
        <v>33454</v>
      </c>
      <c r="G39" s="67"/>
      <c r="H39" s="31">
        <v>0</v>
      </c>
      <c r="I39" s="125">
        <f>SUM(F39)</f>
        <v>33454</v>
      </c>
      <c r="J39" s="54"/>
      <c r="K39" s="52"/>
      <c r="L39" s="44"/>
      <c r="M39" s="52"/>
      <c r="N39" s="44"/>
      <c r="O39" s="108">
        <f t="shared" si="13"/>
        <v>33454</v>
      </c>
    </row>
    <row r="40" spans="1:15" x14ac:dyDescent="0.2">
      <c r="A40" s="30">
        <v>540</v>
      </c>
      <c r="B40" t="s">
        <v>42</v>
      </c>
      <c r="C40" s="36">
        <v>1500</v>
      </c>
      <c r="D40" s="36"/>
      <c r="E40" s="36">
        <f>SUM(C40:D40)</f>
        <v>1500</v>
      </c>
      <c r="F40" s="36"/>
      <c r="G40" s="67"/>
      <c r="H40" s="31">
        <f t="shared" si="11"/>
        <v>-1500</v>
      </c>
      <c r="I40" s="123"/>
      <c r="J40" s="54"/>
      <c r="K40" s="52"/>
      <c r="L40" s="44">
        <f>SUM(J40:K40)</f>
        <v>0</v>
      </c>
      <c r="M40" s="52"/>
      <c r="N40" s="44">
        <f t="shared" si="12"/>
        <v>0</v>
      </c>
      <c r="O40" s="109">
        <f t="shared" si="13"/>
        <v>0</v>
      </c>
    </row>
    <row r="41" spans="1:15" x14ac:dyDescent="0.2">
      <c r="A41" s="30">
        <v>550</v>
      </c>
      <c r="B41" t="s">
        <v>43</v>
      </c>
      <c r="C41" s="36">
        <v>1500</v>
      </c>
      <c r="D41" s="36"/>
      <c r="E41" s="36">
        <f>SUM(C41:D41)</f>
        <v>1500</v>
      </c>
      <c r="F41" s="36"/>
      <c r="G41" s="67"/>
      <c r="H41" s="31">
        <f t="shared" si="11"/>
        <v>-296</v>
      </c>
      <c r="I41" s="125">
        <f>204+1000</f>
        <v>1204</v>
      </c>
      <c r="J41" s="28"/>
      <c r="K41" s="36"/>
      <c r="L41" s="28">
        <f>SUM(J41:K41)</f>
        <v>0</v>
      </c>
      <c r="M41" s="109">
        <v>568.14</v>
      </c>
      <c r="N41" s="44">
        <f t="shared" si="12"/>
        <v>568.14</v>
      </c>
      <c r="O41" s="108">
        <f t="shared" si="13"/>
        <v>635.86</v>
      </c>
    </row>
    <row r="42" spans="1:15" x14ac:dyDescent="0.2">
      <c r="A42" s="30">
        <v>811</v>
      </c>
      <c r="B42" t="s">
        <v>47</v>
      </c>
      <c r="C42" s="37"/>
      <c r="D42" s="37"/>
      <c r="E42" s="37">
        <f>SUM(C42:D42)</f>
        <v>0</v>
      </c>
      <c r="F42" s="37"/>
      <c r="G42" s="33"/>
      <c r="H42" s="111">
        <f t="shared" si="11"/>
        <v>500</v>
      </c>
      <c r="I42" s="127">
        <v>500</v>
      </c>
      <c r="J42" s="29"/>
      <c r="K42" s="110">
        <v>218</v>
      </c>
      <c r="L42" s="29">
        <f>SUM(J42:K42)</f>
        <v>218</v>
      </c>
      <c r="M42" s="37"/>
      <c r="N42" s="29">
        <f t="shared" si="12"/>
        <v>218</v>
      </c>
      <c r="O42" s="104">
        <f t="shared" si="13"/>
        <v>282</v>
      </c>
    </row>
    <row r="43" spans="1:15" x14ac:dyDescent="0.2">
      <c r="A43" s="30"/>
      <c r="B43" s="133" t="s">
        <v>95</v>
      </c>
      <c r="C43" s="38">
        <f>SUM(C36:C42)</f>
        <v>12000</v>
      </c>
      <c r="D43" s="38"/>
      <c r="E43" s="38">
        <f>SUM(E38:E42)</f>
        <v>12000</v>
      </c>
      <c r="F43" s="38">
        <f>SUM(F38:F42)</f>
        <v>33454</v>
      </c>
      <c r="G43" s="38"/>
      <c r="H43" s="118">
        <f>SUM(H36:H42)</f>
        <v>2300</v>
      </c>
      <c r="I43" s="131">
        <f>SUM(I36:I42)</f>
        <v>47754</v>
      </c>
      <c r="J43" s="47">
        <f>SUM(J40:J42)</f>
        <v>0</v>
      </c>
      <c r="K43" s="47">
        <f>SUM(K36:K42)</f>
        <v>218</v>
      </c>
      <c r="L43" s="38">
        <f>SUM(L36:L42)</f>
        <v>218</v>
      </c>
      <c r="M43" s="38">
        <f>SUM(M40:M42)</f>
        <v>568.14</v>
      </c>
      <c r="N43" s="38">
        <f>SUM(N40:N42)</f>
        <v>786.14</v>
      </c>
      <c r="O43" s="106">
        <f>SUM(O36:O42)</f>
        <v>38187.86</v>
      </c>
    </row>
    <row r="44" spans="1:15" x14ac:dyDescent="0.2">
      <c r="A44" s="30"/>
      <c r="C44" s="50"/>
      <c r="D44" s="50"/>
      <c r="E44" s="50"/>
      <c r="F44" s="50"/>
      <c r="G44" s="50"/>
      <c r="H44" s="119"/>
      <c r="I44" s="128"/>
      <c r="J44" s="51"/>
      <c r="K44" s="52"/>
      <c r="L44" s="51"/>
      <c r="M44" s="50"/>
      <c r="N44" s="53"/>
      <c r="O44" s="50"/>
    </row>
    <row r="45" spans="1:15" ht="13.5" thickBot="1" x14ac:dyDescent="0.25">
      <c r="A45" s="30"/>
      <c r="C45" s="30"/>
      <c r="D45" s="30"/>
      <c r="E45" s="30"/>
      <c r="F45" s="30"/>
      <c r="G45" s="30"/>
      <c r="H45" s="6"/>
      <c r="I45" s="129"/>
      <c r="K45" s="30"/>
      <c r="M45" s="30"/>
      <c r="N45" s="41"/>
      <c r="O45" s="30"/>
    </row>
    <row r="46" spans="1:15" ht="13.5" thickBot="1" x14ac:dyDescent="0.25">
      <c r="A46" s="30"/>
      <c r="B46" s="134" t="s">
        <v>34</v>
      </c>
      <c r="C46" s="39">
        <f>SUM(C6+C14+C18+C31+C34+C43)</f>
        <v>455507</v>
      </c>
      <c r="D46" s="39">
        <f>SUM(D6+D14+D18+D31+D34+D43)</f>
        <v>16000</v>
      </c>
      <c r="E46" s="39">
        <f>SUM(E6+E14+E18+E31+E34+E43)</f>
        <v>471507</v>
      </c>
      <c r="F46" s="39">
        <f>SUM(F6+F14+F18+F21+F31+F34+F43)</f>
        <v>51694</v>
      </c>
      <c r="G46" s="39">
        <f>SUM(G6+G14+G18+G21+G31+G34+G43)</f>
        <v>12000</v>
      </c>
      <c r="H46" s="39">
        <f>SUM(H6+H14+H18+H31+H34+H43)</f>
        <v>0</v>
      </c>
      <c r="I46" s="132">
        <f>SUM(I6+I14+I18+I21+I31+I34+I43)</f>
        <v>535201</v>
      </c>
      <c r="J46" s="39">
        <f>SUM(J6+J14+J18+J31+J34+J43)</f>
        <v>122625.65999999999</v>
      </c>
      <c r="K46" s="39">
        <f>SUM(K6+K14+K18+K31+K34+K43)</f>
        <v>202628.95999999996</v>
      </c>
      <c r="L46" s="39">
        <f>SUM(L6+L14+L18+L31+L34+L43)</f>
        <v>325254.62</v>
      </c>
      <c r="M46" s="39">
        <f>SUM(M6+M14+M18+M31+M34+M43)</f>
        <v>122452.75</v>
      </c>
      <c r="N46" s="39">
        <f>SUM(N6+N14+N18+N31+N34+N43)</f>
        <v>453736.30999999994</v>
      </c>
      <c r="O46" s="101">
        <f>SUM(O6+O14+O18+O20+O31+O34+O43)</f>
        <v>66776.150000000023</v>
      </c>
    </row>
    <row r="47" spans="1:15" ht="13.5" thickTop="1" x14ac:dyDescent="0.2">
      <c r="A47" s="6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</row>
    <row r="48" spans="1:15" x14ac:dyDescent="0.2">
      <c r="B48" s="1"/>
      <c r="C48" s="107" t="s">
        <v>86</v>
      </c>
    </row>
    <row r="49" spans="2:7" x14ac:dyDescent="0.2">
      <c r="C49" s="107" t="s">
        <v>87</v>
      </c>
      <c r="D49" s="107"/>
      <c r="E49" s="107"/>
      <c r="F49" s="107"/>
      <c r="G49" s="107"/>
    </row>
    <row r="50" spans="2:7" x14ac:dyDescent="0.2">
      <c r="B50" s="1"/>
      <c r="C50" s="107" t="s">
        <v>97</v>
      </c>
      <c r="D50" s="107"/>
      <c r="E50" s="107"/>
      <c r="F50" s="107"/>
      <c r="G50" s="107"/>
    </row>
  </sheetData>
  <printOptions horizontalCentered="1"/>
  <pageMargins left="0.5" right="0.5" top="0.5" bottom="0.5" header="0.5" footer="0.5"/>
  <pageSetup scale="68" orientation="landscape" r:id="rId1"/>
  <headerFooter alignWithMargins="0">
    <oddFooter>&amp;RPrepared by : 
Mike Escaname 
HCHHSD 
07/10/12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L64"/>
  <sheetViews>
    <sheetView zoomScaleNormal="100" workbookViewId="0">
      <selection activeCell="E38" sqref="E38"/>
    </sheetView>
  </sheetViews>
  <sheetFormatPr defaultRowHeight="12.75" x14ac:dyDescent="0.2"/>
  <cols>
    <col min="4" max="4" width="15.5703125" customWidth="1"/>
    <col min="5" max="5" width="13.5703125" customWidth="1"/>
    <col min="6" max="6" width="16.140625" customWidth="1"/>
    <col min="7" max="7" width="16.85546875" customWidth="1"/>
    <col min="8" max="8" width="15.42578125" customWidth="1"/>
    <col min="9" max="9" width="11.5703125" bestFit="1" customWidth="1"/>
    <col min="10" max="10" width="20.42578125" hidden="1" customWidth="1"/>
    <col min="11" max="11" width="0" hidden="1" customWidth="1"/>
  </cols>
  <sheetData>
    <row r="3" spans="1:10" x14ac:dyDescent="0.2">
      <c r="A3" s="66" t="s">
        <v>62</v>
      </c>
    </row>
    <row r="4" spans="1:10" x14ac:dyDescent="0.2">
      <c r="A4" s="85" t="s">
        <v>63</v>
      </c>
      <c r="B4" s="85"/>
      <c r="D4" s="84"/>
    </row>
    <row r="5" spans="1:10" x14ac:dyDescent="0.2">
      <c r="B5" s="2" t="s">
        <v>71</v>
      </c>
      <c r="C5" s="2"/>
      <c r="D5" s="2"/>
      <c r="E5" s="2"/>
      <c r="F5" s="2"/>
      <c r="G5" s="1"/>
    </row>
    <row r="6" spans="1:10" x14ac:dyDescent="0.2">
      <c r="B6" s="27"/>
    </row>
    <row r="7" spans="1:10" x14ac:dyDescent="0.2">
      <c r="D7" s="78" t="s">
        <v>0</v>
      </c>
      <c r="E7" s="78" t="s">
        <v>1</v>
      </c>
      <c r="F7" s="78" t="s">
        <v>2</v>
      </c>
      <c r="G7" s="78" t="s">
        <v>3</v>
      </c>
      <c r="H7" s="79" t="s">
        <v>4</v>
      </c>
    </row>
    <row r="8" spans="1:10" x14ac:dyDescent="0.2">
      <c r="D8" s="80" t="s">
        <v>5</v>
      </c>
      <c r="E8" s="80" t="s">
        <v>6</v>
      </c>
      <c r="F8" s="80" t="s">
        <v>7</v>
      </c>
      <c r="G8" s="80" t="s">
        <v>8</v>
      </c>
      <c r="H8" s="81" t="s">
        <v>9</v>
      </c>
    </row>
    <row r="9" spans="1:10" x14ac:dyDescent="0.2">
      <c r="A9" s="17"/>
      <c r="B9" s="17"/>
      <c r="C9" s="3"/>
      <c r="D9" s="82"/>
      <c r="E9" s="82"/>
      <c r="F9" s="82"/>
      <c r="G9" s="86">
        <v>41099</v>
      </c>
      <c r="H9" s="92" t="s">
        <v>10</v>
      </c>
      <c r="I9" s="5"/>
    </row>
    <row r="10" spans="1:10" x14ac:dyDescent="0.2">
      <c r="A10" s="6" t="s">
        <v>11</v>
      </c>
      <c r="B10" s="5"/>
      <c r="C10" s="7">
        <v>113</v>
      </c>
      <c r="D10" s="8">
        <v>12336.46</v>
      </c>
      <c r="E10" s="9">
        <v>5.5</v>
      </c>
      <c r="F10" s="10">
        <f>(D10*E10)</f>
        <v>67850.53</v>
      </c>
      <c r="G10" s="11">
        <v>72322.55</v>
      </c>
      <c r="H10" s="57">
        <f t="shared" ref="H10:H18" si="0">SUM(G10-F10)</f>
        <v>4472.0200000000041</v>
      </c>
      <c r="I10" s="5"/>
    </row>
    <row r="11" spans="1:10" x14ac:dyDescent="0.2">
      <c r="A11" s="69" t="s">
        <v>48</v>
      </c>
      <c r="C11" s="70"/>
      <c r="D11" s="71"/>
      <c r="E11" s="72"/>
      <c r="F11" s="73"/>
      <c r="G11" s="73"/>
      <c r="H11" s="74">
        <f>SUM(H10:H10)</f>
        <v>4472.0200000000041</v>
      </c>
      <c r="I11" s="12"/>
    </row>
    <row r="12" spans="1:10" x14ac:dyDescent="0.2">
      <c r="A12" s="69"/>
      <c r="C12" s="14"/>
      <c r="D12" s="13"/>
      <c r="E12" s="9"/>
      <c r="F12" s="11"/>
      <c r="G12" s="11"/>
      <c r="H12" s="58"/>
      <c r="I12" s="12"/>
    </row>
    <row r="13" spans="1:10" x14ac:dyDescent="0.2">
      <c r="A13" s="6" t="s">
        <v>12</v>
      </c>
      <c r="B13" s="5"/>
      <c r="C13" s="7">
        <v>211</v>
      </c>
      <c r="D13" s="8">
        <v>1305.45</v>
      </c>
      <c r="E13" s="9">
        <v>6</v>
      </c>
      <c r="F13" s="10">
        <f t="shared" ref="F13:F18" si="1">(D13*E13)</f>
        <v>7832.7000000000007</v>
      </c>
      <c r="G13" s="13">
        <v>13124.45</v>
      </c>
      <c r="H13" s="57">
        <f t="shared" si="0"/>
        <v>5291.75</v>
      </c>
      <c r="I13" s="12"/>
      <c r="J13" s="16">
        <f>SUM(F11:F18)</f>
        <v>20416.910000000003</v>
      </c>
    </row>
    <row r="14" spans="1:10" x14ac:dyDescent="0.2">
      <c r="A14" s="6" t="s">
        <v>13</v>
      </c>
      <c r="B14" s="5"/>
      <c r="C14" s="7">
        <v>212</v>
      </c>
      <c r="D14" s="8">
        <v>19.2</v>
      </c>
      <c r="E14" s="14">
        <v>3</v>
      </c>
      <c r="F14" s="10">
        <f t="shared" si="1"/>
        <v>57.599999999999994</v>
      </c>
      <c r="G14" s="13">
        <v>70.11</v>
      </c>
      <c r="H14" s="57">
        <f t="shared" si="0"/>
        <v>12.510000000000005</v>
      </c>
      <c r="I14" s="5"/>
      <c r="J14" s="16">
        <f>SUM(J13:J13)</f>
        <v>20416.910000000003</v>
      </c>
    </row>
    <row r="15" spans="1:10" x14ac:dyDescent="0.2">
      <c r="A15" s="6" t="s">
        <v>14</v>
      </c>
      <c r="B15" s="5"/>
      <c r="C15" s="7">
        <v>220</v>
      </c>
      <c r="D15" s="8">
        <v>925.81</v>
      </c>
      <c r="E15" s="9">
        <v>5.5</v>
      </c>
      <c r="F15" s="10">
        <f t="shared" si="1"/>
        <v>5091.9549999999999</v>
      </c>
      <c r="G15" s="13">
        <v>6695.41</v>
      </c>
      <c r="H15" s="57">
        <f t="shared" si="0"/>
        <v>1603.4549999999999</v>
      </c>
      <c r="I15" s="12"/>
      <c r="J15">
        <f>J13/J14</f>
        <v>1</v>
      </c>
    </row>
    <row r="16" spans="1:10" x14ac:dyDescent="0.2">
      <c r="A16" s="6" t="s">
        <v>15</v>
      </c>
      <c r="B16" s="5"/>
      <c r="C16" s="7">
        <v>230</v>
      </c>
      <c r="D16" s="15">
        <v>1227.44</v>
      </c>
      <c r="E16" s="9">
        <v>5.5</v>
      </c>
      <c r="F16" s="10">
        <f t="shared" si="1"/>
        <v>6750.92</v>
      </c>
      <c r="G16" s="13">
        <v>7455.61</v>
      </c>
      <c r="H16" s="57">
        <f t="shared" si="0"/>
        <v>704.6899999999996</v>
      </c>
      <c r="I16" s="12"/>
    </row>
    <row r="17" spans="1:12" x14ac:dyDescent="0.2">
      <c r="A17" s="6" t="s">
        <v>16</v>
      </c>
      <c r="B17" s="5"/>
      <c r="C17" s="7">
        <v>250</v>
      </c>
      <c r="D17" s="15">
        <v>61.67</v>
      </c>
      <c r="E17" s="9">
        <v>5.5</v>
      </c>
      <c r="F17" s="10">
        <f>(D17*E17)+344.55</f>
        <v>683.73500000000001</v>
      </c>
      <c r="G17" s="13">
        <v>2046.21</v>
      </c>
      <c r="H17" s="57">
        <f t="shared" si="0"/>
        <v>1362.4749999999999</v>
      </c>
      <c r="I17" s="5"/>
      <c r="J17" s="16"/>
    </row>
    <row r="18" spans="1:12" x14ac:dyDescent="0.2">
      <c r="A18" s="6" t="s">
        <v>17</v>
      </c>
      <c r="B18" s="41"/>
      <c r="C18" s="3">
        <v>260</v>
      </c>
      <c r="D18" s="19">
        <v>0</v>
      </c>
      <c r="E18" s="9">
        <v>0</v>
      </c>
      <c r="F18" s="10">
        <f t="shared" si="1"/>
        <v>0</v>
      </c>
      <c r="G18" s="13">
        <v>0</v>
      </c>
      <c r="H18" s="59">
        <f t="shared" si="0"/>
        <v>0</v>
      </c>
      <c r="I18" s="12"/>
      <c r="J18" s="16"/>
    </row>
    <row r="19" spans="1:12" x14ac:dyDescent="0.2">
      <c r="A19" s="69" t="s">
        <v>49</v>
      </c>
      <c r="B19" s="5"/>
      <c r="C19" s="75"/>
      <c r="D19" s="96" t="s">
        <v>64</v>
      </c>
      <c r="E19" s="77"/>
      <c r="F19" s="73"/>
      <c r="G19" s="76"/>
      <c r="H19" s="74">
        <f>SUM(H13:H18)</f>
        <v>8974.8799999999992</v>
      </c>
      <c r="I19" s="12"/>
      <c r="J19" s="16"/>
    </row>
    <row r="20" spans="1:12" x14ac:dyDescent="0.2">
      <c r="A20" s="6"/>
      <c r="B20" s="5"/>
      <c r="C20" s="20"/>
      <c r="D20" s="20"/>
      <c r="E20" s="20"/>
      <c r="F20" s="20"/>
      <c r="G20" s="20"/>
      <c r="H20" s="60"/>
      <c r="I20" s="5"/>
    </row>
    <row r="21" spans="1:12" x14ac:dyDescent="0.2">
      <c r="A21" s="4"/>
      <c r="B21" s="17"/>
      <c r="C21" s="18"/>
      <c r="D21" s="21">
        <f>SUM(D10:D18)</f>
        <v>15876.03</v>
      </c>
      <c r="E21" s="4"/>
      <c r="F21" s="22">
        <f>SUM(F10:F18)</f>
        <v>88267.44</v>
      </c>
      <c r="G21" s="21">
        <f>SUM(G10:G18)</f>
        <v>101714.34000000001</v>
      </c>
      <c r="H21" s="61">
        <f>SUM(H11+H19)</f>
        <v>13446.900000000003</v>
      </c>
      <c r="I21" s="23"/>
    </row>
    <row r="22" spans="1:12" ht="13.5" thickBot="1" x14ac:dyDescent="0.25">
      <c r="H22" s="83"/>
      <c r="I22" s="5"/>
      <c r="J22" s="24"/>
    </row>
    <row r="23" spans="1:12" ht="13.5" thickTop="1" x14ac:dyDescent="0.2">
      <c r="E23" t="s">
        <v>78</v>
      </c>
      <c r="I23" s="5"/>
    </row>
    <row r="24" spans="1:12" x14ac:dyDescent="0.2">
      <c r="A24" t="s">
        <v>18</v>
      </c>
      <c r="E24" s="56">
        <v>1</v>
      </c>
      <c r="F24" t="s">
        <v>65</v>
      </c>
      <c r="G24" s="25">
        <v>41089</v>
      </c>
      <c r="J24" s="25"/>
      <c r="L24" s="25"/>
    </row>
    <row r="25" spans="1:12" x14ac:dyDescent="0.2">
      <c r="A25" t="s">
        <v>19</v>
      </c>
      <c r="E25" s="56">
        <f t="shared" ref="E25:E30" si="2">E24+1</f>
        <v>2</v>
      </c>
      <c r="F25" t="s">
        <v>66</v>
      </c>
      <c r="G25" s="25">
        <v>41103</v>
      </c>
      <c r="J25" s="25"/>
      <c r="L25" s="25"/>
    </row>
    <row r="26" spans="1:12" x14ac:dyDescent="0.2">
      <c r="E26" s="56">
        <f t="shared" si="2"/>
        <v>3</v>
      </c>
      <c r="F26" t="s">
        <v>67</v>
      </c>
      <c r="G26" s="25">
        <v>41117</v>
      </c>
    </row>
    <row r="27" spans="1:12" x14ac:dyDescent="0.2">
      <c r="A27" s="93"/>
      <c r="B27" s="93"/>
      <c r="C27" s="93"/>
      <c r="D27" s="93"/>
      <c r="E27" s="56">
        <f t="shared" si="2"/>
        <v>4</v>
      </c>
      <c r="F27" t="s">
        <v>68</v>
      </c>
      <c r="G27" s="25">
        <v>41131</v>
      </c>
    </row>
    <row r="28" spans="1:12" x14ac:dyDescent="0.2">
      <c r="A28" s="93"/>
      <c r="B28" s="93"/>
      <c r="C28" s="93"/>
      <c r="D28" s="93"/>
      <c r="E28" s="56">
        <f t="shared" si="2"/>
        <v>5</v>
      </c>
      <c r="F28" t="s">
        <v>69</v>
      </c>
      <c r="G28" s="25">
        <v>41145</v>
      </c>
    </row>
    <row r="29" spans="1:12" x14ac:dyDescent="0.2">
      <c r="A29" s="93"/>
      <c r="B29" s="93"/>
      <c r="C29" s="93"/>
      <c r="D29" s="93"/>
      <c r="E29" s="56">
        <f t="shared" si="2"/>
        <v>6</v>
      </c>
      <c r="F29" t="s">
        <v>44</v>
      </c>
      <c r="G29" s="25">
        <v>41159</v>
      </c>
    </row>
    <row r="30" spans="1:12" x14ac:dyDescent="0.2">
      <c r="E30" s="56">
        <f t="shared" si="2"/>
        <v>7</v>
      </c>
      <c r="F30" t="s">
        <v>45</v>
      </c>
      <c r="G30" s="25">
        <v>41173</v>
      </c>
      <c r="H30" t="s">
        <v>70</v>
      </c>
    </row>
    <row r="31" spans="1:12" x14ac:dyDescent="0.2">
      <c r="E31" s="56"/>
      <c r="G31" s="25"/>
    </row>
    <row r="32" spans="1:12" x14ac:dyDescent="0.2">
      <c r="E32" s="56"/>
      <c r="G32" s="25"/>
    </row>
    <row r="33" spans="1:7" x14ac:dyDescent="0.2">
      <c r="E33" s="56"/>
      <c r="G33" s="25"/>
    </row>
    <row r="34" spans="1:7" x14ac:dyDescent="0.2">
      <c r="E34" s="56"/>
      <c r="G34" s="25"/>
    </row>
    <row r="35" spans="1:7" x14ac:dyDescent="0.2">
      <c r="A35" s="203"/>
      <c r="B35" s="204"/>
      <c r="C35" s="204"/>
      <c r="E35" s="56"/>
      <c r="G35" s="25"/>
    </row>
    <row r="36" spans="1:7" x14ac:dyDescent="0.2">
      <c r="E36" s="26"/>
    </row>
    <row r="37" spans="1:7" ht="24.75" customHeight="1" x14ac:dyDescent="0.2">
      <c r="A37" s="97" t="s">
        <v>72</v>
      </c>
      <c r="B37" s="97"/>
      <c r="C37" s="97"/>
    </row>
    <row r="38" spans="1:7" x14ac:dyDescent="0.2">
      <c r="A38" s="88"/>
      <c r="B38" s="88"/>
      <c r="C38" s="88"/>
      <c r="D38" s="88"/>
      <c r="E38" s="88"/>
      <c r="F38" s="88"/>
      <c r="G38" s="88"/>
    </row>
    <row r="39" spans="1:7" x14ac:dyDescent="0.2">
      <c r="A39" s="88"/>
      <c r="B39" s="88"/>
      <c r="C39" s="88"/>
      <c r="D39" s="88"/>
      <c r="E39" s="88"/>
      <c r="F39" s="88"/>
      <c r="G39" s="88"/>
    </row>
    <row r="40" spans="1:7" x14ac:dyDescent="0.2">
      <c r="A40" s="87"/>
      <c r="B40" s="88"/>
      <c r="C40" s="89"/>
      <c r="D40" s="88"/>
      <c r="E40" s="88"/>
      <c r="F40" s="88"/>
      <c r="G40" s="88"/>
    </row>
    <row r="41" spans="1:7" x14ac:dyDescent="0.2">
      <c r="A41" s="87"/>
      <c r="B41" s="88"/>
      <c r="C41" s="89"/>
      <c r="D41" s="88"/>
      <c r="E41" s="88"/>
      <c r="F41" s="88"/>
      <c r="G41" s="88"/>
    </row>
    <row r="42" spans="1:7" x14ac:dyDescent="0.2">
      <c r="A42" s="87"/>
      <c r="B42" s="88"/>
      <c r="C42" s="89"/>
      <c r="D42" s="88"/>
      <c r="E42" s="88"/>
      <c r="F42" s="88"/>
      <c r="G42" s="88"/>
    </row>
    <row r="43" spans="1:7" x14ac:dyDescent="0.2">
      <c r="A43" s="87"/>
      <c r="B43" s="88"/>
      <c r="C43" s="89"/>
      <c r="D43" s="88"/>
      <c r="E43" s="88"/>
      <c r="F43" s="88"/>
      <c r="G43" s="88"/>
    </row>
    <row r="44" spans="1:7" x14ac:dyDescent="0.2">
      <c r="A44" s="87"/>
      <c r="B44" s="88"/>
      <c r="C44" s="89"/>
      <c r="D44" s="88"/>
      <c r="E44" s="88"/>
      <c r="F44" s="88"/>
      <c r="G44" s="88"/>
    </row>
    <row r="45" spans="1:7" x14ac:dyDescent="0.2">
      <c r="A45" s="87"/>
      <c r="B45" s="88"/>
      <c r="C45" s="89"/>
      <c r="D45" s="88"/>
      <c r="E45" s="88"/>
      <c r="F45" s="88"/>
      <c r="G45" s="88"/>
    </row>
    <row r="46" spans="1:7" x14ac:dyDescent="0.2">
      <c r="A46" s="87"/>
      <c r="B46" s="88"/>
      <c r="C46" s="89"/>
      <c r="D46" s="88"/>
      <c r="E46" s="88"/>
      <c r="F46" s="88"/>
      <c r="G46" s="88"/>
    </row>
    <row r="47" spans="1:7" x14ac:dyDescent="0.2">
      <c r="A47" s="87"/>
      <c r="B47" s="88"/>
      <c r="C47" s="89"/>
      <c r="D47" s="88"/>
      <c r="E47" s="88"/>
      <c r="F47" s="88"/>
      <c r="G47" s="88"/>
    </row>
    <row r="48" spans="1:7" x14ac:dyDescent="0.2">
      <c r="A48" s="87"/>
      <c r="B48" s="88"/>
      <c r="C48" s="89"/>
      <c r="D48" s="88"/>
      <c r="E48" s="88"/>
      <c r="F48" s="88"/>
      <c r="G48" s="88"/>
    </row>
    <row r="49" spans="1:7" x14ac:dyDescent="0.2">
      <c r="A49" s="87"/>
      <c r="B49" s="88"/>
      <c r="C49" s="89"/>
      <c r="D49" s="88"/>
      <c r="E49" s="88"/>
      <c r="F49" s="88"/>
      <c r="G49" s="88"/>
    </row>
    <row r="50" spans="1:7" x14ac:dyDescent="0.2">
      <c r="A50" s="87"/>
      <c r="B50" s="88"/>
      <c r="C50" s="89"/>
      <c r="D50" s="88"/>
      <c r="E50" s="88"/>
      <c r="F50" s="88"/>
      <c r="G50" s="88"/>
    </row>
    <row r="51" spans="1:7" x14ac:dyDescent="0.2">
      <c r="A51" s="87"/>
      <c r="B51" s="88"/>
      <c r="C51" s="89"/>
      <c r="D51" s="88"/>
      <c r="E51" s="88"/>
      <c r="F51" s="88"/>
      <c r="G51" s="88"/>
    </row>
    <row r="52" spans="1:7" x14ac:dyDescent="0.2">
      <c r="A52" s="87"/>
      <c r="B52" s="88"/>
      <c r="C52" s="89"/>
      <c r="D52" s="88"/>
      <c r="E52" s="88"/>
      <c r="F52" s="88"/>
      <c r="G52" s="88"/>
    </row>
    <row r="53" spans="1:7" x14ac:dyDescent="0.2">
      <c r="A53" s="88"/>
      <c r="B53" s="88"/>
      <c r="C53" s="88"/>
      <c r="D53" s="88"/>
      <c r="E53" s="88"/>
      <c r="F53" s="88"/>
      <c r="G53" s="88"/>
    </row>
    <row r="54" spans="1:7" x14ac:dyDescent="0.2">
      <c r="A54" s="88"/>
      <c r="B54" s="88"/>
      <c r="C54" s="88"/>
      <c r="D54" s="88"/>
      <c r="E54" s="88"/>
      <c r="F54" s="88"/>
      <c r="G54" s="88"/>
    </row>
    <row r="55" spans="1:7" x14ac:dyDescent="0.2">
      <c r="A55" s="88"/>
      <c r="B55" s="88"/>
      <c r="C55" s="88"/>
      <c r="D55" s="88"/>
      <c r="E55" s="88"/>
      <c r="F55" s="88"/>
      <c r="G55" s="88"/>
    </row>
    <row r="56" spans="1:7" x14ac:dyDescent="0.2">
      <c r="A56" s="88"/>
      <c r="B56" s="88"/>
      <c r="C56" s="88"/>
      <c r="D56" s="88"/>
      <c r="E56" s="88"/>
      <c r="F56" s="88"/>
      <c r="G56" s="88"/>
    </row>
    <row r="57" spans="1:7" x14ac:dyDescent="0.2">
      <c r="A57" s="88"/>
      <c r="B57" s="88"/>
      <c r="C57" s="88"/>
      <c r="D57" s="55"/>
      <c r="E57" s="88"/>
      <c r="F57" s="88"/>
      <c r="G57" s="88"/>
    </row>
    <row r="58" spans="1:7" x14ac:dyDescent="0.2">
      <c r="A58" s="88"/>
      <c r="B58" s="88"/>
      <c r="C58" s="88"/>
      <c r="D58" s="55"/>
      <c r="E58" s="88"/>
      <c r="F58" s="88"/>
      <c r="G58" s="88"/>
    </row>
    <row r="59" spans="1:7" x14ac:dyDescent="0.2">
      <c r="A59" s="88"/>
      <c r="B59" s="88"/>
      <c r="C59" s="88"/>
      <c r="D59" s="88"/>
      <c r="E59" s="88"/>
      <c r="F59" s="88"/>
      <c r="G59" s="88"/>
    </row>
    <row r="60" spans="1:7" x14ac:dyDescent="0.2">
      <c r="A60" s="88"/>
      <c r="B60" s="88"/>
      <c r="C60" s="88"/>
      <c r="D60" s="51"/>
      <c r="E60" s="88"/>
      <c r="F60" s="88"/>
      <c r="G60" s="88"/>
    </row>
    <row r="61" spans="1:7" x14ac:dyDescent="0.2">
      <c r="A61" s="88"/>
      <c r="B61" s="88"/>
      <c r="C61" s="88"/>
      <c r="D61" s="51"/>
      <c r="E61" s="88"/>
      <c r="F61" s="88"/>
      <c r="G61" s="88"/>
    </row>
    <row r="62" spans="1:7" x14ac:dyDescent="0.2">
      <c r="A62" s="88"/>
      <c r="B62" s="88"/>
      <c r="C62" s="88"/>
      <c r="D62" s="51"/>
      <c r="E62" s="88"/>
      <c r="F62" s="88"/>
      <c r="G62" s="88"/>
    </row>
    <row r="63" spans="1:7" x14ac:dyDescent="0.2">
      <c r="A63" s="88"/>
      <c r="B63" s="88"/>
      <c r="C63" s="88"/>
      <c r="D63" s="90"/>
      <c r="E63" s="88"/>
      <c r="F63" s="88"/>
      <c r="G63" s="88"/>
    </row>
    <row r="64" spans="1:7" x14ac:dyDescent="0.2">
      <c r="A64" s="88"/>
      <c r="B64" s="88"/>
      <c r="C64" s="88"/>
      <c r="D64" s="88"/>
      <c r="E64" s="88"/>
      <c r="F64" s="88"/>
      <c r="G64" s="88"/>
    </row>
  </sheetData>
  <mergeCells count="1">
    <mergeCell ref="A35:C35"/>
  </mergeCells>
  <pageMargins left="0.25" right="0.25" top="0.75" bottom="0.75" header="0.3" footer="0.3"/>
  <pageSetup orientation="landscape" r:id="rId1"/>
  <headerFooter alignWithMargins="0">
    <oddFooter xml:space="preserve">&amp;L&amp;F&amp;R&amp;8Prepared by Mike Escaname 
Health &amp; Human Services Dept. 
04/17/2012&amp;9 
&amp;10 
</oddFooter>
  </headerFooter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9217" r:id="rId4">
          <objectPr defaultSize="0" autoPict="0" r:id="rId5">
            <anchor moveWithCells="1">
              <from>
                <xdr:col>3</xdr:col>
                <xdr:colOff>0</xdr:colOff>
                <xdr:row>36</xdr:row>
                <xdr:rowOff>0</xdr:rowOff>
              </from>
              <to>
                <xdr:col>4</xdr:col>
                <xdr:colOff>0</xdr:colOff>
                <xdr:row>37</xdr:row>
                <xdr:rowOff>66675</xdr:rowOff>
              </to>
            </anchor>
          </objectPr>
        </oleObject>
      </mc:Choice>
      <mc:Fallback>
        <oleObject progId="Acrobat Document" dvAspect="DVASPECT_ICON" shapeId="9217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4"/>
  <sheetViews>
    <sheetView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H5" sqref="H5"/>
    </sheetView>
  </sheetViews>
  <sheetFormatPr defaultRowHeight="12.75" x14ac:dyDescent="0.2"/>
  <cols>
    <col min="1" max="1" width="4.5703125" customWidth="1"/>
    <col min="2" max="2" width="19.140625" customWidth="1"/>
    <col min="3" max="9" width="12.7109375" customWidth="1"/>
    <col min="10" max="10" width="12.85546875" customWidth="1"/>
    <col min="11" max="15" width="12.7109375" customWidth="1"/>
    <col min="16" max="16" width="1.85546875" style="171" customWidth="1"/>
  </cols>
  <sheetData>
    <row r="1" spans="1:16" x14ac:dyDescent="0.2">
      <c r="A1" s="66" t="s">
        <v>100</v>
      </c>
      <c r="B1" s="66"/>
    </row>
    <row r="2" spans="1:16" x14ac:dyDescent="0.2">
      <c r="A2" s="66" t="s">
        <v>101</v>
      </c>
      <c r="B2" s="66"/>
    </row>
    <row r="3" spans="1:16" x14ac:dyDescent="0.2">
      <c r="J3" s="190">
        <v>41814</v>
      </c>
      <c r="K3" s="190">
        <v>41814</v>
      </c>
      <c r="L3" s="25"/>
      <c r="O3" s="25"/>
    </row>
    <row r="4" spans="1:16" ht="55.5" customHeight="1" x14ac:dyDescent="0.2">
      <c r="A4" s="62" t="s">
        <v>20</v>
      </c>
      <c r="B4" s="63" t="s">
        <v>21</v>
      </c>
      <c r="C4" s="64" t="s">
        <v>127</v>
      </c>
      <c r="D4" s="64" t="s">
        <v>128</v>
      </c>
      <c r="E4" s="154" t="s">
        <v>133</v>
      </c>
      <c r="F4" s="63" t="s">
        <v>56</v>
      </c>
      <c r="G4" s="154" t="s">
        <v>57</v>
      </c>
      <c r="H4" s="63" t="s">
        <v>99</v>
      </c>
      <c r="I4" s="154" t="s">
        <v>59</v>
      </c>
      <c r="J4" s="154" t="s">
        <v>134</v>
      </c>
      <c r="K4" s="63" t="s">
        <v>135</v>
      </c>
      <c r="L4" s="64" t="s">
        <v>137</v>
      </c>
      <c r="M4" s="64" t="s">
        <v>158</v>
      </c>
      <c r="N4" s="65" t="s">
        <v>24</v>
      </c>
      <c r="O4" s="98" t="s">
        <v>136</v>
      </c>
      <c r="P4" s="172"/>
    </row>
    <row r="5" spans="1:16" x14ac:dyDescent="0.2">
      <c r="A5" s="30">
        <v>113</v>
      </c>
      <c r="B5" t="s">
        <v>22</v>
      </c>
      <c r="C5" s="34">
        <v>427954</v>
      </c>
      <c r="D5" s="31">
        <v>129046</v>
      </c>
      <c r="E5" s="155">
        <f>SUM(C5:D5)</f>
        <v>557000</v>
      </c>
      <c r="F5" s="31"/>
      <c r="G5" s="162">
        <f>SUM(E5:F5)</f>
        <v>557000</v>
      </c>
      <c r="H5" s="199">
        <f>-15500-1000-75-10000-8000</f>
        <v>-34575</v>
      </c>
      <c r="I5" s="166">
        <f>SUM(G5:H5)</f>
        <v>522425</v>
      </c>
      <c r="J5" s="155">
        <f>SUM(F71)</f>
        <v>298065.24</v>
      </c>
      <c r="K5" s="42">
        <f>SUM(G71)</f>
        <v>72149.489999999991</v>
      </c>
      <c r="L5" s="34">
        <f>SUM(J5:K5)</f>
        <v>370214.73</v>
      </c>
      <c r="M5" s="34">
        <f>SUM('TB CONTROL FY 14 SAL PROJ '!G11)</f>
        <v>91848.307692307702</v>
      </c>
      <c r="N5" s="42">
        <f>SUM(K5:M5)</f>
        <v>534212.52769230772</v>
      </c>
      <c r="O5" s="176">
        <f>SUM(C5+H5-J5-M5)</f>
        <v>3465.4523076923069</v>
      </c>
    </row>
    <row r="6" spans="1:16" x14ac:dyDescent="0.2">
      <c r="A6" s="30"/>
      <c r="B6" s="1" t="s">
        <v>36</v>
      </c>
      <c r="C6" s="35">
        <f>SUM(C5)</f>
        <v>427954</v>
      </c>
      <c r="D6" s="35">
        <f>SUM(D5)</f>
        <v>129046</v>
      </c>
      <c r="E6" s="156">
        <f>SUM(E5)</f>
        <v>557000</v>
      </c>
      <c r="F6" s="32"/>
      <c r="G6" s="157">
        <f>SUM(G5)</f>
        <v>557000</v>
      </c>
      <c r="H6" s="115">
        <f>SUM(H5)</f>
        <v>-34575</v>
      </c>
      <c r="I6" s="156">
        <f>SUM(I5)</f>
        <v>522425</v>
      </c>
      <c r="J6" s="156">
        <f t="shared" ref="J6:O6" si="0">SUM(J5)</f>
        <v>298065.24</v>
      </c>
      <c r="K6" s="32">
        <f t="shared" si="0"/>
        <v>72149.489999999991</v>
      </c>
      <c r="L6" s="35">
        <f t="shared" si="0"/>
        <v>370214.73</v>
      </c>
      <c r="M6" s="35">
        <f t="shared" si="0"/>
        <v>91848.307692307702</v>
      </c>
      <c r="N6" s="32">
        <f t="shared" si="0"/>
        <v>534212.52769230772</v>
      </c>
      <c r="O6" s="102">
        <f t="shared" si="0"/>
        <v>3465.4523076923069</v>
      </c>
    </row>
    <row r="7" spans="1:16" x14ac:dyDescent="0.2">
      <c r="A7" s="30"/>
      <c r="C7" s="67"/>
      <c r="D7" s="67"/>
      <c r="E7" s="157"/>
      <c r="F7" s="67"/>
      <c r="G7" s="160"/>
      <c r="H7" s="36"/>
      <c r="I7" s="167"/>
      <c r="J7" s="156"/>
      <c r="K7" s="28"/>
      <c r="L7" s="36"/>
      <c r="M7" s="36"/>
      <c r="N7" s="44"/>
      <c r="O7" s="36"/>
    </row>
    <row r="8" spans="1:16" x14ac:dyDescent="0.2">
      <c r="A8" s="30">
        <v>211</v>
      </c>
      <c r="B8" t="s">
        <v>25</v>
      </c>
      <c r="C8" s="67">
        <v>47449</v>
      </c>
      <c r="D8" s="67">
        <v>14336</v>
      </c>
      <c r="E8" s="156">
        <f>SUM(C8:D8)</f>
        <v>61785</v>
      </c>
      <c r="F8" s="44"/>
      <c r="G8" s="159">
        <f>SUM(E8:F8)</f>
        <v>61785</v>
      </c>
      <c r="H8" s="200">
        <f>14000-2000-3000</f>
        <v>9000</v>
      </c>
      <c r="I8" s="156">
        <f>SUM(G8:H8)</f>
        <v>70785</v>
      </c>
      <c r="J8" s="156">
        <f>SUM(F76)</f>
        <v>38364.19</v>
      </c>
      <c r="K8" s="28">
        <f>SUM(G76)</f>
        <v>8888.7099999999991</v>
      </c>
      <c r="L8" s="36">
        <f>SUM(J8:K8)</f>
        <v>47252.9</v>
      </c>
      <c r="M8" s="40">
        <f>SUM('TB CONTROL FY 14 SAL PROJ '!G14)</f>
        <v>13863.926153846154</v>
      </c>
      <c r="N8" s="44">
        <f t="shared" ref="N8:N13" si="1">SUM(K8:M8)</f>
        <v>70005.536153846158</v>
      </c>
      <c r="O8" s="179">
        <f t="shared" ref="O8:O13" si="2">SUM(C8+H8-J8-M8)</f>
        <v>4220.8838461538435</v>
      </c>
    </row>
    <row r="9" spans="1:16" x14ac:dyDescent="0.2">
      <c r="A9" s="30">
        <v>212</v>
      </c>
      <c r="B9" t="s">
        <v>26</v>
      </c>
      <c r="C9" s="67">
        <v>308</v>
      </c>
      <c r="D9" s="67">
        <v>67</v>
      </c>
      <c r="E9" s="156">
        <f t="shared" ref="E9:E13" si="3">SUM(C9:D9)</f>
        <v>375</v>
      </c>
      <c r="F9" s="67"/>
      <c r="G9" s="159">
        <f t="shared" ref="G9:G13" si="4">SUM(E9:F9)</f>
        <v>375</v>
      </c>
      <c r="H9" s="200">
        <v>75</v>
      </c>
      <c r="I9" s="156">
        <f t="shared" ref="I9:I13" si="5">SUM(G9:H9)</f>
        <v>450</v>
      </c>
      <c r="J9" s="156">
        <f>SUM(F81)</f>
        <v>275.45999999999998</v>
      </c>
      <c r="K9" s="28">
        <f>SUM(G81)</f>
        <v>84.72</v>
      </c>
      <c r="L9" s="36">
        <f t="shared" ref="L9:L13" si="6">SUM(J9:K9)</f>
        <v>360.17999999999995</v>
      </c>
      <c r="M9" s="40">
        <f>SUM('TB CONTROL FY 14 SAL PROJ '!G15)</f>
        <v>89.85</v>
      </c>
      <c r="N9" s="44">
        <f t="shared" si="1"/>
        <v>534.75</v>
      </c>
      <c r="O9" s="173">
        <f t="shared" si="2"/>
        <v>17.690000000000026</v>
      </c>
    </row>
    <row r="10" spans="1:16" x14ac:dyDescent="0.2">
      <c r="A10" s="30">
        <v>220</v>
      </c>
      <c r="B10" t="s">
        <v>27</v>
      </c>
      <c r="C10" s="67">
        <v>32743</v>
      </c>
      <c r="D10" s="67">
        <v>9868</v>
      </c>
      <c r="E10" s="156">
        <f t="shared" si="3"/>
        <v>42611</v>
      </c>
      <c r="F10" s="67"/>
      <c r="G10" s="159">
        <f t="shared" si="4"/>
        <v>42611</v>
      </c>
      <c r="H10" s="200">
        <v>-1000</v>
      </c>
      <c r="I10" s="156">
        <f t="shared" si="5"/>
        <v>41611</v>
      </c>
      <c r="J10" s="156">
        <f>SUM(F86)</f>
        <v>21944.86</v>
      </c>
      <c r="K10" s="28">
        <f>SUM(G86)</f>
        <v>5575.2800000000007</v>
      </c>
      <c r="L10" s="36">
        <f t="shared" si="6"/>
        <v>27520.14</v>
      </c>
      <c r="M10" s="40">
        <f>SUM('TB CONTROL FY 14 SAL PROJ '!G16)</f>
        <v>7026.3955384615383</v>
      </c>
      <c r="N10" s="44">
        <f t="shared" si="1"/>
        <v>40121.815538461538</v>
      </c>
      <c r="O10" s="179">
        <f t="shared" si="2"/>
        <v>2771.7444615384611</v>
      </c>
    </row>
    <row r="11" spans="1:16" x14ac:dyDescent="0.2">
      <c r="A11" s="30">
        <v>230</v>
      </c>
      <c r="B11" t="s">
        <v>28</v>
      </c>
      <c r="C11" s="67">
        <v>44171</v>
      </c>
      <c r="D11" s="67">
        <v>13312</v>
      </c>
      <c r="E11" s="156">
        <f t="shared" si="3"/>
        <v>57483</v>
      </c>
      <c r="F11" s="67"/>
      <c r="G11" s="159">
        <f t="shared" si="4"/>
        <v>57483</v>
      </c>
      <c r="H11" s="200">
        <v>600</v>
      </c>
      <c r="I11" s="156">
        <f t="shared" si="5"/>
        <v>58083</v>
      </c>
      <c r="J11" s="156">
        <f>SUM(F91)</f>
        <v>32051.07</v>
      </c>
      <c r="K11" s="28">
        <f>SUM(G91)</f>
        <v>8271.34</v>
      </c>
      <c r="L11" s="36">
        <f t="shared" si="6"/>
        <v>40322.410000000003</v>
      </c>
      <c r="M11" s="40">
        <f>SUM('TB CONTROL FY 14 SAL PROJ '!G17)</f>
        <v>10002.280707692309</v>
      </c>
      <c r="N11" s="44">
        <f t="shared" si="1"/>
        <v>58596.030707692305</v>
      </c>
      <c r="O11" s="179">
        <f t="shared" si="2"/>
        <v>2717.6492923076912</v>
      </c>
    </row>
    <row r="12" spans="1:16" x14ac:dyDescent="0.2">
      <c r="A12" s="30">
        <v>250</v>
      </c>
      <c r="B12" t="s">
        <v>29</v>
      </c>
      <c r="C12" s="67">
        <v>4280</v>
      </c>
      <c r="D12" s="67">
        <v>1290</v>
      </c>
      <c r="E12" s="156">
        <f t="shared" si="3"/>
        <v>5570</v>
      </c>
      <c r="F12" s="67"/>
      <c r="G12" s="159">
        <f t="shared" si="4"/>
        <v>5570</v>
      </c>
      <c r="H12" s="200">
        <v>-1500</v>
      </c>
      <c r="I12" s="156">
        <f t="shared" si="5"/>
        <v>4070</v>
      </c>
      <c r="J12" s="156">
        <f>SUM(F96)</f>
        <v>1679.05</v>
      </c>
      <c r="K12" s="28">
        <f>SUM(G96)</f>
        <v>535.64</v>
      </c>
      <c r="L12" s="36">
        <f t="shared" si="6"/>
        <v>2214.69</v>
      </c>
      <c r="M12" s="40">
        <f>SUM('TB CONTROL FY 14 SAL PROJ '!G18)</f>
        <v>523.53535384615384</v>
      </c>
      <c r="N12" s="44">
        <f t="shared" si="1"/>
        <v>3273.865353846154</v>
      </c>
      <c r="O12" s="179">
        <f t="shared" si="2"/>
        <v>577.41464615384621</v>
      </c>
    </row>
    <row r="13" spans="1:16" x14ac:dyDescent="0.2">
      <c r="A13" s="30">
        <v>260</v>
      </c>
      <c r="B13" t="s">
        <v>30</v>
      </c>
      <c r="C13" s="33">
        <f>4280-9</f>
        <v>4271</v>
      </c>
      <c r="D13" s="33">
        <f>1290+9</f>
        <v>1299</v>
      </c>
      <c r="E13" s="158">
        <f t="shared" si="3"/>
        <v>5570</v>
      </c>
      <c r="F13" s="33"/>
      <c r="G13" s="163">
        <f t="shared" si="4"/>
        <v>5570</v>
      </c>
      <c r="H13" s="94">
        <f>-600-1000</f>
        <v>-1600</v>
      </c>
      <c r="I13" s="158">
        <f t="shared" si="5"/>
        <v>3970</v>
      </c>
      <c r="J13" s="158">
        <f>SUM(F101)</f>
        <v>1629.63</v>
      </c>
      <c r="K13" s="33">
        <f>SUM(G101)</f>
        <v>342.68</v>
      </c>
      <c r="L13" s="37">
        <f t="shared" si="6"/>
        <v>1972.3100000000002</v>
      </c>
      <c r="M13" s="43">
        <f>SUM('TB CONTROL FY 14 SAL PROJ '!G19)</f>
        <v>688.8623076923077</v>
      </c>
      <c r="N13" s="33">
        <f t="shared" si="1"/>
        <v>3003.8523076923079</v>
      </c>
      <c r="O13" s="183">
        <f t="shared" si="2"/>
        <v>352.5076923076922</v>
      </c>
    </row>
    <row r="14" spans="1:16" x14ac:dyDescent="0.2">
      <c r="A14" s="30"/>
      <c r="B14" s="1" t="s">
        <v>37</v>
      </c>
      <c r="C14" s="35">
        <f>SUM(C8:C13)</f>
        <v>133222</v>
      </c>
      <c r="D14" s="35">
        <f>SUM(D8:D13)</f>
        <v>40172</v>
      </c>
      <c r="E14" s="156">
        <f>SUM(E8:E13)</f>
        <v>173394</v>
      </c>
      <c r="F14" s="35"/>
      <c r="G14" s="156">
        <f>SUM(G8:G13)</f>
        <v>173394</v>
      </c>
      <c r="H14" s="201">
        <f>SUM(H8:H13)</f>
        <v>5575</v>
      </c>
      <c r="I14" s="156">
        <f>SUM(I8:I13)</f>
        <v>178969</v>
      </c>
      <c r="J14" s="156">
        <f t="shared" ref="J14:O14" si="7">SUM(J8:J13)</f>
        <v>95944.260000000009</v>
      </c>
      <c r="K14" s="32">
        <f t="shared" si="7"/>
        <v>23698.37</v>
      </c>
      <c r="L14" s="32">
        <f t="shared" si="7"/>
        <v>119642.63</v>
      </c>
      <c r="M14" s="35">
        <f t="shared" si="7"/>
        <v>32194.850061538462</v>
      </c>
      <c r="N14" s="35">
        <f t="shared" si="7"/>
        <v>175535.85006153848</v>
      </c>
      <c r="O14" s="102">
        <f t="shared" si="7"/>
        <v>10657.889938461534</v>
      </c>
    </row>
    <row r="15" spans="1:16" x14ac:dyDescent="0.2">
      <c r="A15" s="30"/>
      <c r="C15" s="36"/>
      <c r="D15" s="36"/>
      <c r="E15" s="156"/>
      <c r="F15" s="36"/>
      <c r="G15" s="160"/>
      <c r="H15" s="36"/>
      <c r="I15" s="156"/>
      <c r="J15" s="156"/>
      <c r="K15" s="28"/>
      <c r="L15" s="36"/>
      <c r="M15" s="36"/>
      <c r="N15" s="40"/>
      <c r="O15" s="40"/>
    </row>
    <row r="16" spans="1:16" x14ac:dyDescent="0.2">
      <c r="A16" s="30">
        <v>581</v>
      </c>
      <c r="B16" t="s">
        <v>31</v>
      </c>
      <c r="C16" s="36">
        <v>55479</v>
      </c>
      <c r="D16" s="36"/>
      <c r="E16" s="156">
        <f>SUM(C16:D16)</f>
        <v>55479</v>
      </c>
      <c r="F16" s="36"/>
      <c r="G16" s="159">
        <f t="shared" ref="G16:G17" si="8">SUM(E16:F16)</f>
        <v>55479</v>
      </c>
      <c r="H16" s="36">
        <v>-33000</v>
      </c>
      <c r="I16" s="168">
        <f>SUM(G16:H16)</f>
        <v>22479</v>
      </c>
      <c r="J16" s="156"/>
      <c r="K16" s="28"/>
      <c r="L16" s="36">
        <f>6977.87+3776.3</f>
        <v>10754.17</v>
      </c>
      <c r="M16" s="67">
        <v>0</v>
      </c>
      <c r="N16" s="67">
        <f>SUM(L16:M16)</f>
        <v>10754.17</v>
      </c>
      <c r="O16" s="179">
        <f>SUM(G16+H16-J16-N16)</f>
        <v>11724.83</v>
      </c>
    </row>
    <row r="17" spans="1:15" x14ac:dyDescent="0.2">
      <c r="A17" s="196">
        <v>583</v>
      </c>
      <c r="B17" t="s">
        <v>32</v>
      </c>
      <c r="C17" s="37">
        <v>6236</v>
      </c>
      <c r="D17" s="37"/>
      <c r="E17" s="158">
        <f>SUM(C17:D17)</f>
        <v>6236</v>
      </c>
      <c r="F17" s="37"/>
      <c r="G17" s="163">
        <f t="shared" si="8"/>
        <v>6236</v>
      </c>
      <c r="H17" s="37"/>
      <c r="I17" s="169">
        <f>SUM(G17:H17)</f>
        <v>6236</v>
      </c>
      <c r="J17" s="158"/>
      <c r="K17" s="33"/>
      <c r="L17" s="37">
        <f>1891.75-145.16</f>
        <v>1746.59</v>
      </c>
      <c r="M17" s="37">
        <v>0</v>
      </c>
      <c r="N17" s="37">
        <f>SUM(L17:M17)</f>
        <v>1746.59</v>
      </c>
      <c r="O17" s="183">
        <f>SUM(G17+H17-J17-N17)</f>
        <v>4489.41</v>
      </c>
    </row>
    <row r="18" spans="1:15" x14ac:dyDescent="0.2">
      <c r="A18" s="30"/>
      <c r="B18" s="1" t="s">
        <v>38</v>
      </c>
      <c r="C18" s="35">
        <f>SUM(C16:C17)</f>
        <v>61715</v>
      </c>
      <c r="D18" s="35"/>
      <c r="E18" s="156">
        <f>SUM(E16:E17)</f>
        <v>61715</v>
      </c>
      <c r="F18" s="35"/>
      <c r="G18" s="156">
        <f>SUM(G16:G17)</f>
        <v>61715</v>
      </c>
      <c r="H18" s="191">
        <f>SUM(H16:H17)</f>
        <v>-33000</v>
      </c>
      <c r="I18" s="156">
        <f>SUM(I16:I17)</f>
        <v>28715</v>
      </c>
      <c r="J18" s="156">
        <f t="shared" ref="J18:O18" si="9">SUM(J16:J17)</f>
        <v>0</v>
      </c>
      <c r="K18" s="32">
        <f t="shared" si="9"/>
        <v>0</v>
      </c>
      <c r="L18" s="35">
        <f>SUM(L16:L17)</f>
        <v>12500.76</v>
      </c>
      <c r="M18" s="35">
        <f t="shared" si="9"/>
        <v>0</v>
      </c>
      <c r="N18" s="32">
        <f t="shared" si="9"/>
        <v>12500.76</v>
      </c>
      <c r="O18" s="45">
        <f t="shared" si="9"/>
        <v>16214.24</v>
      </c>
    </row>
    <row r="19" spans="1:15" x14ac:dyDescent="0.2">
      <c r="A19" s="30"/>
      <c r="B19" s="1"/>
      <c r="C19" s="52"/>
      <c r="D19" s="52"/>
      <c r="E19" s="156"/>
      <c r="F19" s="52"/>
      <c r="G19" s="164"/>
      <c r="H19" s="52"/>
      <c r="I19" s="156"/>
      <c r="J19" s="156"/>
      <c r="K19" s="55"/>
      <c r="L19" s="52"/>
      <c r="M19" s="52"/>
      <c r="N19" s="55"/>
      <c r="O19" s="52"/>
    </row>
    <row r="20" spans="1:15" x14ac:dyDescent="0.2">
      <c r="A20" s="30">
        <v>748</v>
      </c>
      <c r="B20" s="91"/>
      <c r="C20" s="37"/>
      <c r="D20" s="37"/>
      <c r="E20" s="158"/>
      <c r="F20" s="37"/>
      <c r="G20" s="165"/>
      <c r="H20" s="33"/>
      <c r="I20" s="169">
        <f>SUM(H20)</f>
        <v>0</v>
      </c>
      <c r="J20" s="158"/>
      <c r="K20" s="29"/>
      <c r="L20" s="37"/>
      <c r="M20" s="37"/>
      <c r="N20" s="33">
        <f>SUM(K20:M20)</f>
        <v>0</v>
      </c>
      <c r="O20" s="94"/>
    </row>
    <row r="21" spans="1:15" x14ac:dyDescent="0.2">
      <c r="A21" s="30"/>
      <c r="B21" s="1" t="s">
        <v>51</v>
      </c>
      <c r="C21" s="35"/>
      <c r="D21" s="35"/>
      <c r="E21" s="156"/>
      <c r="F21" s="35"/>
      <c r="G21" s="156"/>
      <c r="H21" s="35"/>
      <c r="I21" s="156">
        <f>SUM(I20)</f>
        <v>0</v>
      </c>
      <c r="J21" s="156"/>
      <c r="K21" s="48"/>
      <c r="L21" s="35"/>
      <c r="M21" s="35"/>
      <c r="N21" s="49"/>
      <c r="O21" s="35">
        <f>SUM(O20:O20)</f>
        <v>0</v>
      </c>
    </row>
    <row r="22" spans="1:15" x14ac:dyDescent="0.2">
      <c r="A22" s="30"/>
      <c r="C22" s="36"/>
      <c r="D22" s="36"/>
      <c r="E22" s="156"/>
      <c r="F22" s="36"/>
      <c r="G22" s="160"/>
      <c r="H22" s="36"/>
      <c r="I22" s="156"/>
      <c r="J22" s="156"/>
      <c r="K22" s="28"/>
      <c r="L22" s="36"/>
      <c r="M22" s="36"/>
      <c r="N22" s="44"/>
      <c r="O22" s="36"/>
    </row>
    <row r="23" spans="1:15" x14ac:dyDescent="0.2">
      <c r="A23" s="196">
        <v>601</v>
      </c>
      <c r="B23" t="s">
        <v>33</v>
      </c>
      <c r="C23" s="36">
        <v>9600</v>
      </c>
      <c r="D23" s="36"/>
      <c r="E23" s="156">
        <f>SUM(C23:D23)</f>
        <v>9600</v>
      </c>
      <c r="F23" s="36"/>
      <c r="G23" s="159">
        <f t="shared" ref="G23:G35" si="10">SUM(E23:F23)</f>
        <v>9600</v>
      </c>
      <c r="H23" s="200">
        <f>1500+6500-4000+10000+8000</f>
        <v>22000</v>
      </c>
      <c r="I23" s="168">
        <f>SUM(G23:H23)</f>
        <v>31600</v>
      </c>
      <c r="J23" s="156"/>
      <c r="K23" s="44"/>
      <c r="L23" s="36">
        <f>2949.66+6576.32</f>
        <v>9525.98</v>
      </c>
      <c r="M23" s="36">
        <f>3617.9+15809.63</f>
        <v>19427.53</v>
      </c>
      <c r="N23" s="67">
        <f>SUM(L23:M23)</f>
        <v>28953.51</v>
      </c>
      <c r="O23" s="179">
        <f t="shared" ref="O23:O35" si="11">SUM(G23+H23-J23-N23)</f>
        <v>2646.4900000000016</v>
      </c>
    </row>
    <row r="24" spans="1:15" x14ac:dyDescent="0.2">
      <c r="A24" s="196">
        <v>603</v>
      </c>
      <c r="B24" t="s">
        <v>156</v>
      </c>
      <c r="C24" s="36"/>
      <c r="D24" s="36"/>
      <c r="E24" s="156"/>
      <c r="F24" s="36"/>
      <c r="G24" s="159"/>
      <c r="H24" s="200">
        <v>1000</v>
      </c>
      <c r="I24" s="168">
        <f t="shared" ref="I24:I35" si="12">SUM(G24:H24)</f>
        <v>1000</v>
      </c>
      <c r="J24" s="156"/>
      <c r="K24" s="44"/>
      <c r="L24" s="36"/>
      <c r="M24" s="36">
        <v>154.05000000000001</v>
      </c>
      <c r="N24" s="67">
        <f t="shared" ref="N24:N34" si="13">SUM(L24:M24)</f>
        <v>154.05000000000001</v>
      </c>
      <c r="O24" s="179">
        <f t="shared" si="11"/>
        <v>845.95</v>
      </c>
    </row>
    <row r="25" spans="1:15" x14ac:dyDescent="0.2">
      <c r="A25" s="196">
        <v>604</v>
      </c>
      <c r="B25" t="s">
        <v>46</v>
      </c>
      <c r="C25" s="36">
        <v>21475</v>
      </c>
      <c r="D25" s="36"/>
      <c r="E25" s="156">
        <f>SUM(C25:D25)</f>
        <v>21475</v>
      </c>
      <c r="F25" s="36"/>
      <c r="G25" s="159">
        <f t="shared" si="10"/>
        <v>21475</v>
      </c>
      <c r="H25" s="200"/>
      <c r="I25" s="168">
        <f t="shared" si="12"/>
        <v>21475</v>
      </c>
      <c r="J25" s="156"/>
      <c r="K25" s="44"/>
      <c r="L25" s="36">
        <f>34.3+13450.63</f>
        <v>13484.929999999998</v>
      </c>
      <c r="M25" s="36">
        <v>5404.2</v>
      </c>
      <c r="N25" s="67">
        <f t="shared" si="13"/>
        <v>18889.129999999997</v>
      </c>
      <c r="O25" s="179">
        <f t="shared" si="11"/>
        <v>2585.8700000000026</v>
      </c>
    </row>
    <row r="26" spans="1:15" x14ac:dyDescent="0.2">
      <c r="A26" s="196">
        <v>605</v>
      </c>
      <c r="B26" t="s">
        <v>96</v>
      </c>
      <c r="C26" s="67"/>
      <c r="D26" s="36"/>
      <c r="E26" s="156"/>
      <c r="F26" s="40"/>
      <c r="G26" s="159"/>
      <c r="H26" s="200">
        <f>1500+100+1500</f>
        <v>3100</v>
      </c>
      <c r="I26" s="168">
        <f t="shared" si="12"/>
        <v>3100</v>
      </c>
      <c r="J26" s="156"/>
      <c r="K26" s="44"/>
      <c r="L26" s="36"/>
      <c r="M26" s="36">
        <v>1580</v>
      </c>
      <c r="N26" s="67">
        <f t="shared" si="13"/>
        <v>1580</v>
      </c>
      <c r="O26" s="179">
        <f t="shared" si="11"/>
        <v>1520</v>
      </c>
    </row>
    <row r="27" spans="1:15" x14ac:dyDescent="0.2">
      <c r="A27" s="196">
        <v>607</v>
      </c>
      <c r="B27" t="s">
        <v>132</v>
      </c>
      <c r="C27" s="67"/>
      <c r="D27" s="36"/>
      <c r="E27" s="156"/>
      <c r="F27" s="40"/>
      <c r="G27" s="159">
        <f t="shared" si="10"/>
        <v>0</v>
      </c>
      <c r="H27" s="36">
        <v>6500</v>
      </c>
      <c r="I27" s="168">
        <f t="shared" si="12"/>
        <v>6500</v>
      </c>
      <c r="J27" s="156"/>
      <c r="K27" s="44"/>
      <c r="L27" s="36"/>
      <c r="M27" s="36">
        <v>5170.6099999999997</v>
      </c>
      <c r="N27" s="67">
        <f t="shared" si="13"/>
        <v>5170.6099999999997</v>
      </c>
      <c r="O27" s="179">
        <f t="shared" si="11"/>
        <v>1329.3900000000003</v>
      </c>
    </row>
    <row r="28" spans="1:15" x14ac:dyDescent="0.2">
      <c r="A28" s="196">
        <v>613</v>
      </c>
      <c r="B28" t="s">
        <v>160</v>
      </c>
      <c r="C28" s="67"/>
      <c r="D28" s="36"/>
      <c r="E28" s="156"/>
      <c r="F28" s="40"/>
      <c r="G28" s="159"/>
      <c r="H28" s="36">
        <v>300</v>
      </c>
      <c r="I28" s="168">
        <f t="shared" si="12"/>
        <v>300</v>
      </c>
      <c r="J28" s="156"/>
      <c r="K28" s="44"/>
      <c r="L28" s="36"/>
      <c r="M28" s="36">
        <v>196.38</v>
      </c>
      <c r="N28" s="67">
        <f t="shared" si="13"/>
        <v>196.38</v>
      </c>
      <c r="O28" s="179">
        <f t="shared" si="11"/>
        <v>103.62</v>
      </c>
    </row>
    <row r="29" spans="1:15" x14ac:dyDescent="0.2">
      <c r="A29" s="196">
        <v>619</v>
      </c>
      <c r="B29" t="s">
        <v>131</v>
      </c>
      <c r="C29" s="67"/>
      <c r="D29" s="36"/>
      <c r="E29" s="156"/>
      <c r="F29" s="40"/>
      <c r="G29" s="159">
        <f t="shared" si="10"/>
        <v>0</v>
      </c>
      <c r="H29" s="36">
        <v>1000</v>
      </c>
      <c r="I29" s="168">
        <f t="shared" si="12"/>
        <v>1000</v>
      </c>
      <c r="J29" s="156"/>
      <c r="K29" s="44"/>
      <c r="L29" s="36"/>
      <c r="M29" s="36">
        <v>310.68</v>
      </c>
      <c r="N29" s="67">
        <f t="shared" si="13"/>
        <v>310.68</v>
      </c>
      <c r="O29" s="179">
        <f t="shared" si="11"/>
        <v>689.31999999999994</v>
      </c>
    </row>
    <row r="30" spans="1:15" x14ac:dyDescent="0.2">
      <c r="A30" s="196">
        <v>661</v>
      </c>
      <c r="B30" t="s">
        <v>130</v>
      </c>
      <c r="C30" s="67">
        <v>1056</v>
      </c>
      <c r="D30" s="36"/>
      <c r="E30" s="156">
        <f>SUM(C30:D30)</f>
        <v>1056</v>
      </c>
      <c r="F30" s="40"/>
      <c r="G30" s="159">
        <f t="shared" si="10"/>
        <v>1056</v>
      </c>
      <c r="H30" s="36">
        <f>2000+600</f>
        <v>2600</v>
      </c>
      <c r="I30" s="168">
        <f t="shared" si="12"/>
        <v>3656</v>
      </c>
      <c r="J30" s="156"/>
      <c r="K30" s="44"/>
      <c r="L30" s="36">
        <f>805.08</f>
        <v>805.08</v>
      </c>
      <c r="M30" s="36">
        <f>665+1412.36</f>
        <v>2077.3599999999997</v>
      </c>
      <c r="N30" s="67">
        <f t="shared" si="13"/>
        <v>2882.4399999999996</v>
      </c>
      <c r="O30" s="179">
        <f t="shared" si="11"/>
        <v>773.5600000000004</v>
      </c>
    </row>
    <row r="31" spans="1:15" x14ac:dyDescent="0.2">
      <c r="A31" s="196">
        <v>664</v>
      </c>
      <c r="B31" t="s">
        <v>159</v>
      </c>
      <c r="C31" s="67"/>
      <c r="D31" s="36"/>
      <c r="E31" s="156"/>
      <c r="F31" s="40"/>
      <c r="G31" s="159"/>
      <c r="H31" s="36">
        <f>4700</f>
        <v>4700</v>
      </c>
      <c r="I31" s="168">
        <f t="shared" si="12"/>
        <v>4700</v>
      </c>
      <c r="J31" s="156"/>
      <c r="K31" s="44"/>
      <c r="L31" s="36">
        <v>2927.44</v>
      </c>
      <c r="M31" s="36"/>
      <c r="N31" s="67">
        <f t="shared" si="13"/>
        <v>2927.44</v>
      </c>
      <c r="O31" s="179">
        <f t="shared" si="11"/>
        <v>1772.56</v>
      </c>
    </row>
    <row r="32" spans="1:15" x14ac:dyDescent="0.2">
      <c r="A32" s="196">
        <v>665</v>
      </c>
      <c r="B32" t="s">
        <v>163</v>
      </c>
      <c r="C32" s="67"/>
      <c r="D32" s="36"/>
      <c r="E32" s="156"/>
      <c r="F32" s="40"/>
      <c r="G32" s="159"/>
      <c r="H32" s="36">
        <v>16000</v>
      </c>
      <c r="I32" s="168">
        <f t="shared" si="12"/>
        <v>16000</v>
      </c>
      <c r="J32" s="156"/>
      <c r="K32" s="44"/>
      <c r="L32" s="36"/>
      <c r="M32" s="36">
        <v>14905.92</v>
      </c>
      <c r="N32" s="67">
        <f t="shared" si="13"/>
        <v>14905.92</v>
      </c>
      <c r="O32" s="179">
        <f t="shared" si="11"/>
        <v>1094.08</v>
      </c>
    </row>
    <row r="33" spans="1:15" x14ac:dyDescent="0.2">
      <c r="A33" s="196">
        <v>667</v>
      </c>
      <c r="B33" t="s">
        <v>161</v>
      </c>
      <c r="C33" s="67"/>
      <c r="D33" s="36"/>
      <c r="E33" s="156"/>
      <c r="F33" s="40"/>
      <c r="G33" s="159"/>
      <c r="H33" s="36">
        <v>3000</v>
      </c>
      <c r="I33" s="168">
        <f t="shared" si="12"/>
        <v>3000</v>
      </c>
      <c r="J33" s="156"/>
      <c r="K33" s="44"/>
      <c r="L33" s="36">
        <v>1392.16</v>
      </c>
      <c r="M33" s="36">
        <v>1392.16</v>
      </c>
      <c r="N33" s="67">
        <f t="shared" si="13"/>
        <v>2784.32</v>
      </c>
      <c r="O33" s="179">
        <f t="shared" si="11"/>
        <v>215.67999999999984</v>
      </c>
    </row>
    <row r="34" spans="1:15" x14ac:dyDescent="0.2">
      <c r="A34" s="196">
        <v>672</v>
      </c>
      <c r="B34" t="s">
        <v>162</v>
      </c>
      <c r="C34" s="67"/>
      <c r="D34" s="36"/>
      <c r="E34" s="156"/>
      <c r="F34" s="40"/>
      <c r="G34" s="159"/>
      <c r="H34" s="36">
        <v>300</v>
      </c>
      <c r="I34" s="168">
        <f t="shared" si="12"/>
        <v>300</v>
      </c>
      <c r="J34" s="156"/>
      <c r="K34" s="44"/>
      <c r="L34" s="36"/>
      <c r="M34" s="36">
        <v>127.6</v>
      </c>
      <c r="N34" s="67">
        <f t="shared" si="13"/>
        <v>127.6</v>
      </c>
      <c r="O34" s="179">
        <f t="shared" si="11"/>
        <v>172.4</v>
      </c>
    </row>
    <row r="35" spans="1:15" x14ac:dyDescent="0.2">
      <c r="A35" s="196">
        <v>748</v>
      </c>
      <c r="B35" t="s">
        <v>129</v>
      </c>
      <c r="C35" s="37">
        <v>4441</v>
      </c>
      <c r="D35" s="37"/>
      <c r="E35" s="158">
        <f>SUM(C35:D35)</f>
        <v>4441</v>
      </c>
      <c r="F35" s="37"/>
      <c r="G35" s="163">
        <f t="shared" si="10"/>
        <v>4441</v>
      </c>
      <c r="H35" s="37"/>
      <c r="I35" s="170">
        <f t="shared" si="12"/>
        <v>4441</v>
      </c>
      <c r="J35" s="158"/>
      <c r="K35" s="29"/>
      <c r="L35" s="37">
        <v>1355.1</v>
      </c>
      <c r="M35" s="37"/>
      <c r="N35" s="33">
        <f>SUM(L35:M35)</f>
        <v>1355.1</v>
      </c>
      <c r="O35" s="183">
        <f t="shared" si="11"/>
        <v>3085.9</v>
      </c>
    </row>
    <row r="36" spans="1:15" x14ac:dyDescent="0.2">
      <c r="A36" s="30"/>
      <c r="B36" s="1" t="s">
        <v>39</v>
      </c>
      <c r="C36" s="35">
        <f>SUM(C23:C35)</f>
        <v>36572</v>
      </c>
      <c r="D36" s="35">
        <f t="shared" ref="D36:G36" si="14">SUM(D23:D35)</f>
        <v>0</v>
      </c>
      <c r="E36" s="156">
        <f t="shared" si="14"/>
        <v>36572</v>
      </c>
      <c r="F36" s="35">
        <f t="shared" si="14"/>
        <v>0</v>
      </c>
      <c r="G36" s="156">
        <f t="shared" si="14"/>
        <v>36572</v>
      </c>
      <c r="H36" s="201">
        <f>SUM(H23:H35)</f>
        <v>60500</v>
      </c>
      <c r="I36" s="156">
        <f>SUM(I23:I35)</f>
        <v>97072</v>
      </c>
      <c r="J36" s="156">
        <f>SUM(J23:J25)</f>
        <v>0</v>
      </c>
      <c r="K36" s="32">
        <f>SUM(K23:K25)</f>
        <v>0</v>
      </c>
      <c r="L36" s="35">
        <f>SUM(L23:L35)</f>
        <v>29490.689999999995</v>
      </c>
      <c r="M36" s="35">
        <f>SUM(M23:M35)</f>
        <v>50746.49</v>
      </c>
      <c r="N36" s="35">
        <f>SUM(N23:N35)</f>
        <v>80237.180000000022</v>
      </c>
      <c r="O36" s="35">
        <f>SUM(O23:O25)</f>
        <v>6078.310000000004</v>
      </c>
    </row>
    <row r="37" spans="1:15" x14ac:dyDescent="0.2">
      <c r="A37" s="30"/>
      <c r="C37" s="52"/>
      <c r="D37" s="52"/>
      <c r="E37" s="156"/>
      <c r="F37" s="52"/>
      <c r="G37" s="160"/>
      <c r="H37" s="52"/>
      <c r="I37" s="156"/>
      <c r="J37" s="156"/>
      <c r="K37" s="55"/>
      <c r="L37" s="52"/>
      <c r="M37" s="52"/>
      <c r="N37" s="55"/>
      <c r="O37" s="52"/>
    </row>
    <row r="38" spans="1:15" x14ac:dyDescent="0.2">
      <c r="A38" s="30"/>
      <c r="C38" s="37">
        <v>0</v>
      </c>
      <c r="D38" s="37"/>
      <c r="E38" s="158"/>
      <c r="F38" s="37"/>
      <c r="G38" s="165"/>
      <c r="H38" s="37"/>
      <c r="I38" s="158"/>
      <c r="J38" s="158"/>
      <c r="K38" s="33">
        <f>SUM(J38:J38)</f>
        <v>0</v>
      </c>
      <c r="L38" s="37"/>
      <c r="M38" s="37"/>
      <c r="N38" s="29">
        <f>SUM(K38:M38)</f>
        <v>0</v>
      </c>
      <c r="O38" s="100"/>
    </row>
    <row r="39" spans="1:15" x14ac:dyDescent="0.2">
      <c r="A39" s="30"/>
      <c r="B39" s="1" t="s">
        <v>41</v>
      </c>
      <c r="C39" s="35">
        <f>SUM(C38:C38)</f>
        <v>0</v>
      </c>
      <c r="D39" s="35"/>
      <c r="E39" s="156">
        <f t="shared" ref="E39:J39" si="15">SUM(E38:E38)</f>
        <v>0</v>
      </c>
      <c r="F39" s="35">
        <f t="shared" si="15"/>
        <v>0</v>
      </c>
      <c r="G39" s="156">
        <f t="shared" si="15"/>
        <v>0</v>
      </c>
      <c r="H39" s="35">
        <f t="shared" si="15"/>
        <v>0</v>
      </c>
      <c r="I39" s="156">
        <f t="shared" si="15"/>
        <v>0</v>
      </c>
      <c r="J39" s="156">
        <f t="shared" si="15"/>
        <v>0</v>
      </c>
      <c r="K39" s="48">
        <f>SUM(J39:J39)</f>
        <v>0</v>
      </c>
      <c r="L39" s="35"/>
      <c r="M39" s="35">
        <v>0</v>
      </c>
      <c r="N39" s="49">
        <f>SUM(K39:M39)</f>
        <v>0</v>
      </c>
      <c r="O39" s="35">
        <f>SUM(O38:O38)</f>
        <v>0</v>
      </c>
    </row>
    <row r="40" spans="1:15" x14ac:dyDescent="0.2">
      <c r="A40" s="30"/>
      <c r="C40" s="52"/>
      <c r="D40" s="52"/>
      <c r="E40" s="156"/>
      <c r="F40" s="52"/>
      <c r="G40" s="160"/>
      <c r="H40" s="52"/>
      <c r="I40" s="156"/>
      <c r="J40" s="156"/>
      <c r="K40" s="54"/>
      <c r="L40" s="52"/>
      <c r="M40" s="52"/>
      <c r="N40" s="55"/>
      <c r="O40" s="52"/>
    </row>
    <row r="41" spans="1:15" x14ac:dyDescent="0.2">
      <c r="A41" s="196">
        <v>339</v>
      </c>
      <c r="B41" t="s">
        <v>98</v>
      </c>
      <c r="C41" s="52">
        <v>2000</v>
      </c>
      <c r="D41" s="52"/>
      <c r="E41" s="156">
        <f>SUM(C41:D41)</f>
        <v>2000</v>
      </c>
      <c r="F41" s="52"/>
      <c r="G41" s="159">
        <f t="shared" ref="G41:G43" si="16">SUM(E41:F41)</f>
        <v>2000</v>
      </c>
      <c r="H41" s="52">
        <v>1500</v>
      </c>
      <c r="I41" s="168">
        <f t="shared" ref="I41:I43" si="17">SUM(G41:H41)</f>
        <v>3500</v>
      </c>
      <c r="J41" s="156"/>
      <c r="K41" s="44">
        <f>SUM(J41:J41)</f>
        <v>0</v>
      </c>
      <c r="L41" s="36">
        <v>0</v>
      </c>
      <c r="M41" s="52">
        <v>500</v>
      </c>
      <c r="N41" s="36">
        <f t="shared" ref="N41:N43" si="18">SUM(L41:M41)</f>
        <v>500</v>
      </c>
      <c r="O41" s="179">
        <f>SUM(G41+H41-J41-N41)</f>
        <v>3000</v>
      </c>
    </row>
    <row r="42" spans="1:15" x14ac:dyDescent="0.2">
      <c r="A42" s="196">
        <v>432</v>
      </c>
      <c r="B42" t="s">
        <v>77</v>
      </c>
      <c r="C42" s="52">
        <v>2500</v>
      </c>
      <c r="D42" s="52"/>
      <c r="E42" s="156">
        <f t="shared" ref="E42:E43" si="19">SUM(C42:D42)</f>
        <v>2500</v>
      </c>
      <c r="F42" s="52"/>
      <c r="G42" s="159">
        <f t="shared" si="16"/>
        <v>2500</v>
      </c>
      <c r="H42" s="36"/>
      <c r="I42" s="168">
        <f t="shared" si="17"/>
        <v>2500</v>
      </c>
      <c r="J42" s="156"/>
      <c r="K42" s="44"/>
      <c r="L42" s="36">
        <f>850</f>
        <v>850</v>
      </c>
      <c r="M42" s="52"/>
      <c r="N42" s="36">
        <f t="shared" si="18"/>
        <v>850</v>
      </c>
      <c r="O42" s="179">
        <f>SUM(G42+H42-J42-N42)</f>
        <v>1650</v>
      </c>
    </row>
    <row r="43" spans="1:15" x14ac:dyDescent="0.2">
      <c r="A43" s="196">
        <v>550</v>
      </c>
      <c r="B43" t="s">
        <v>43</v>
      </c>
      <c r="C43" s="37">
        <v>1000</v>
      </c>
      <c r="D43" s="37"/>
      <c r="E43" s="158">
        <f t="shared" si="19"/>
        <v>1000</v>
      </c>
      <c r="F43" s="37"/>
      <c r="G43" s="163">
        <f t="shared" si="16"/>
        <v>1000</v>
      </c>
      <c r="H43" s="37"/>
      <c r="I43" s="169">
        <f t="shared" si="17"/>
        <v>1000</v>
      </c>
      <c r="J43" s="158"/>
      <c r="K43" s="29">
        <f>SUM(J43:J43)</f>
        <v>0</v>
      </c>
      <c r="L43" s="37">
        <v>0</v>
      </c>
      <c r="M43" s="37">
        <v>700</v>
      </c>
      <c r="N43" s="37">
        <f t="shared" si="18"/>
        <v>700</v>
      </c>
      <c r="O43" s="183">
        <f>SUM(G43+H43-J43-N43)</f>
        <v>300</v>
      </c>
    </row>
    <row r="44" spans="1:15" x14ac:dyDescent="0.2">
      <c r="A44" s="30"/>
      <c r="B44" s="1" t="s">
        <v>40</v>
      </c>
      <c r="C44" s="38">
        <f>SUM(C41:C43)</f>
        <v>5500</v>
      </c>
      <c r="D44" s="38"/>
      <c r="E44" s="159">
        <f t="shared" ref="E44:O44" si="20">SUM(E41:E43)</f>
        <v>5500</v>
      </c>
      <c r="F44" s="38">
        <f t="shared" si="20"/>
        <v>0</v>
      </c>
      <c r="G44" s="159">
        <f t="shared" si="20"/>
        <v>5500</v>
      </c>
      <c r="H44" s="202">
        <f t="shared" si="20"/>
        <v>1500</v>
      </c>
      <c r="I44" s="159">
        <f t="shared" si="20"/>
        <v>7000</v>
      </c>
      <c r="J44" s="159">
        <f t="shared" si="20"/>
        <v>0</v>
      </c>
      <c r="K44" s="174">
        <f t="shared" si="20"/>
        <v>0</v>
      </c>
      <c r="L44" s="38">
        <f t="shared" si="20"/>
        <v>850</v>
      </c>
      <c r="M44" s="38">
        <f t="shared" si="20"/>
        <v>1200</v>
      </c>
      <c r="N44" s="38">
        <f t="shared" si="20"/>
        <v>2050</v>
      </c>
      <c r="O44" s="38">
        <f t="shared" si="20"/>
        <v>4950</v>
      </c>
    </row>
    <row r="45" spans="1:15" x14ac:dyDescent="0.2">
      <c r="A45" s="30"/>
      <c r="C45" s="50"/>
      <c r="D45" s="50"/>
      <c r="E45" s="159"/>
      <c r="F45" s="50"/>
      <c r="G45" s="160"/>
      <c r="H45" s="50"/>
      <c r="I45" s="159"/>
      <c r="J45" s="156"/>
      <c r="K45" s="51"/>
      <c r="L45" s="50"/>
      <c r="M45" s="50"/>
      <c r="N45" s="53"/>
      <c r="O45" s="53"/>
    </row>
    <row r="46" spans="1:15" x14ac:dyDescent="0.2">
      <c r="A46" s="30"/>
      <c r="C46" s="30"/>
      <c r="D46" s="30"/>
      <c r="E46" s="160"/>
      <c r="F46" s="30"/>
      <c r="G46" s="165"/>
      <c r="H46" s="30"/>
      <c r="I46" s="160"/>
      <c r="J46" s="160"/>
      <c r="L46" s="30"/>
      <c r="M46" s="30"/>
      <c r="N46" s="41"/>
      <c r="O46" s="41"/>
    </row>
    <row r="47" spans="1:15" ht="13.5" thickBot="1" x14ac:dyDescent="0.25">
      <c r="A47" s="30"/>
      <c r="B47" s="68" t="s">
        <v>34</v>
      </c>
      <c r="C47" s="39">
        <f>SUM(C6+C14+C18+C36+C39+C44)</f>
        <v>664963</v>
      </c>
      <c r="D47" s="39">
        <f>SUM(D6+D14+D18+D36+D39+D44)</f>
        <v>169218</v>
      </c>
      <c r="E47" s="161">
        <f>SUM(E6+E14+E18+E36+E39+E44)</f>
        <v>834181</v>
      </c>
      <c r="F47" s="39">
        <f>SUM(F6+F14+F18+F36+F39+F44)</f>
        <v>0</v>
      </c>
      <c r="G47" s="161">
        <f>SUM(G6+G14+G18+G36+G39+G44)</f>
        <v>834181</v>
      </c>
      <c r="H47" s="39">
        <f>SUM(H6+H14+H18+H21+H36+H39+H44)</f>
        <v>0</v>
      </c>
      <c r="I47" s="161">
        <f>SUM(I6+I14+I18+I21+I36+I39+I44)</f>
        <v>834181</v>
      </c>
      <c r="J47" s="161">
        <f>SUM(J6+J14+J18+J36+J39+J44)</f>
        <v>394009.5</v>
      </c>
      <c r="K47" s="175">
        <f>SUM(K6+K14+K18+K36+K39+K44)</f>
        <v>95847.859999999986</v>
      </c>
      <c r="L47" s="175">
        <f>SUM(L6+L14+L18+L36+L39+L44)</f>
        <v>532698.80999999994</v>
      </c>
      <c r="M47" s="39">
        <f>SUM(M6+M14+M18+M36+M39+M44)</f>
        <v>175989.64775384616</v>
      </c>
      <c r="N47" s="39">
        <f>SUM(N6+N14+N18+N36+N39+N44)</f>
        <v>804536.31775384629</v>
      </c>
      <c r="O47" s="101">
        <f>SUM(O6+O14+O18+O20+O36+O39+O44)</f>
        <v>41365.892246153846</v>
      </c>
    </row>
    <row r="48" spans="1:15" ht="13.5" thickTop="1" x14ac:dyDescent="0.2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</row>
    <row r="49" spans="1:16" x14ac:dyDescent="0.2">
      <c r="A49" s="194"/>
      <c r="B49" s="198" t="s">
        <v>56</v>
      </c>
      <c r="C49" s="195"/>
      <c r="D49" s="195"/>
      <c r="E49" s="195"/>
      <c r="F49" s="195"/>
      <c r="G49" s="195"/>
      <c r="H49" s="195"/>
      <c r="I49" s="195"/>
      <c r="J49" s="195"/>
      <c r="K49" s="195"/>
      <c r="L49" s="195"/>
      <c r="M49" s="195"/>
      <c r="N49" s="195"/>
      <c r="O49" s="195"/>
      <c r="P49" s="54"/>
    </row>
    <row r="50" spans="1:16" x14ac:dyDescent="0.2">
      <c r="A50" s="30"/>
      <c r="B50" s="30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54"/>
    </row>
    <row r="51" spans="1:16" x14ac:dyDescent="0.2">
      <c r="A51" s="30">
        <v>601</v>
      </c>
      <c r="B51" s="30" t="s">
        <v>33</v>
      </c>
      <c r="C51" s="36"/>
      <c r="D51" s="36"/>
      <c r="E51" s="36"/>
      <c r="F51" s="36">
        <v>12000</v>
      </c>
      <c r="G51" s="36">
        <f>SUM(F51)</f>
        <v>12000</v>
      </c>
      <c r="H51" s="36"/>
      <c r="I51" s="36"/>
      <c r="J51" s="36"/>
      <c r="K51" s="36"/>
      <c r="L51" s="36">
        <v>11457.69</v>
      </c>
      <c r="M51" s="36">
        <v>362.32</v>
      </c>
      <c r="N51" s="36">
        <f>SUM(L51:M51)</f>
        <v>11820.01</v>
      </c>
      <c r="O51" s="179">
        <f>SUM(G51+H51-J51-N51)</f>
        <v>179.98999999999978</v>
      </c>
      <c r="P51" s="54"/>
    </row>
    <row r="52" spans="1:16" x14ac:dyDescent="0.2">
      <c r="A52" s="30">
        <v>607</v>
      </c>
      <c r="B52" s="30" t="s">
        <v>132</v>
      </c>
      <c r="C52" s="36"/>
      <c r="D52" s="36"/>
      <c r="E52" s="36"/>
      <c r="F52" s="36">
        <v>7000</v>
      </c>
      <c r="G52" s="36">
        <f t="shared" ref="G52:G55" si="21">SUM(F52)</f>
        <v>7000</v>
      </c>
      <c r="H52" s="36"/>
      <c r="I52" s="36"/>
      <c r="J52" s="36"/>
      <c r="K52" s="36"/>
      <c r="L52" s="36">
        <f>575.43+6308.55</f>
        <v>6883.9800000000005</v>
      </c>
      <c r="M52" s="36"/>
      <c r="N52" s="36">
        <f t="shared" ref="N52:N55" si="22">SUM(L52:M52)</f>
        <v>6883.9800000000005</v>
      </c>
      <c r="O52" s="179">
        <f t="shared" ref="O52:O55" si="23">SUM(G52+H52-J52-N52)</f>
        <v>116.01999999999953</v>
      </c>
      <c r="P52" s="54"/>
    </row>
    <row r="53" spans="1:16" x14ac:dyDescent="0.2">
      <c r="A53" s="30">
        <v>619</v>
      </c>
      <c r="B53" s="30" t="s">
        <v>131</v>
      </c>
      <c r="C53" s="36"/>
      <c r="D53" s="36"/>
      <c r="E53" s="36"/>
      <c r="F53" s="36">
        <v>1000</v>
      </c>
      <c r="G53" s="36">
        <f t="shared" si="21"/>
        <v>1000</v>
      </c>
      <c r="H53" s="36"/>
      <c r="I53" s="36"/>
      <c r="J53" s="36"/>
      <c r="K53" s="36"/>
      <c r="L53" s="36">
        <v>355.62</v>
      </c>
      <c r="M53" s="36"/>
      <c r="N53" s="36">
        <f t="shared" si="22"/>
        <v>355.62</v>
      </c>
      <c r="O53" s="179">
        <f t="shared" si="23"/>
        <v>644.38</v>
      </c>
      <c r="P53" s="54"/>
    </row>
    <row r="54" spans="1:16" x14ac:dyDescent="0.2">
      <c r="A54" s="30">
        <v>661</v>
      </c>
      <c r="B54" s="30" t="s">
        <v>130</v>
      </c>
      <c r="C54" s="36"/>
      <c r="D54" s="36"/>
      <c r="E54" s="36"/>
      <c r="F54" s="36">
        <v>3500</v>
      </c>
      <c r="G54" s="36">
        <f t="shared" si="21"/>
        <v>3500</v>
      </c>
      <c r="H54" s="36"/>
      <c r="I54" s="36"/>
      <c r="J54" s="36"/>
      <c r="K54" s="36"/>
      <c r="L54" s="36">
        <v>1511.24</v>
      </c>
      <c r="M54" s="36">
        <v>1501.15</v>
      </c>
      <c r="N54" s="36">
        <f t="shared" si="22"/>
        <v>3012.3900000000003</v>
      </c>
      <c r="O54" s="179">
        <f t="shared" si="23"/>
        <v>487.60999999999967</v>
      </c>
      <c r="P54" s="54"/>
    </row>
    <row r="55" spans="1:16" x14ac:dyDescent="0.2">
      <c r="A55" s="30">
        <v>743</v>
      </c>
      <c r="B55" s="30" t="s">
        <v>165</v>
      </c>
      <c r="C55" s="36"/>
      <c r="D55" s="36"/>
      <c r="E55" s="36"/>
      <c r="F55" s="36">
        <v>1500</v>
      </c>
      <c r="G55" s="36">
        <f t="shared" si="21"/>
        <v>1500</v>
      </c>
      <c r="H55" s="36"/>
      <c r="I55" s="36"/>
      <c r="J55" s="36"/>
      <c r="K55" s="36"/>
      <c r="L55" s="36"/>
      <c r="M55" s="36">
        <v>1447.72</v>
      </c>
      <c r="N55" s="36">
        <f t="shared" si="22"/>
        <v>1447.72</v>
      </c>
      <c r="O55" s="179">
        <f t="shared" si="23"/>
        <v>52.279999999999973</v>
      </c>
      <c r="P55" s="54"/>
    </row>
    <row r="56" spans="1:16" x14ac:dyDescent="0.2">
      <c r="A56" s="30"/>
      <c r="B56" s="30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54"/>
    </row>
    <row r="57" spans="1:16" x14ac:dyDescent="0.2">
      <c r="A57" s="18"/>
      <c r="B57" s="18"/>
      <c r="C57" s="37"/>
      <c r="D57" s="37"/>
      <c r="E57" s="37"/>
      <c r="F57" s="197">
        <f>SUM(F51:F56)</f>
        <v>25000</v>
      </c>
      <c r="G57" s="197">
        <f>SUM(G51:G56)</f>
        <v>25000</v>
      </c>
      <c r="H57" s="197">
        <f t="shared" ref="H57:O57" si="24">SUM(H51:H56)</f>
        <v>0</v>
      </c>
      <c r="I57" s="197">
        <f t="shared" si="24"/>
        <v>0</v>
      </c>
      <c r="J57" s="197">
        <f t="shared" si="24"/>
        <v>0</v>
      </c>
      <c r="K57" s="197">
        <f t="shared" si="24"/>
        <v>0</v>
      </c>
      <c r="L57" s="197">
        <f t="shared" si="24"/>
        <v>20208.530000000002</v>
      </c>
      <c r="M57" s="197">
        <f t="shared" si="24"/>
        <v>3311.19</v>
      </c>
      <c r="N57" s="197">
        <f t="shared" si="24"/>
        <v>23519.72</v>
      </c>
      <c r="O57" s="197">
        <f t="shared" si="24"/>
        <v>1480.2799999999991</v>
      </c>
      <c r="P57" s="54"/>
    </row>
    <row r="58" spans="1:16" x14ac:dyDescent="0.2">
      <c r="A58" s="5"/>
      <c r="B58" s="5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54"/>
    </row>
    <row r="59" spans="1:16" x14ac:dyDescent="0.2">
      <c r="A59" s="5"/>
      <c r="B59" s="5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54"/>
    </row>
    <row r="60" spans="1:16" x14ac:dyDescent="0.2">
      <c r="A60" s="5"/>
      <c r="B60" s="5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54"/>
    </row>
    <row r="61" spans="1:16" x14ac:dyDescent="0.2">
      <c r="A61" s="5"/>
      <c r="B61" s="5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54"/>
    </row>
    <row r="62" spans="1:16" x14ac:dyDescent="0.2">
      <c r="A62" s="5"/>
      <c r="B62" s="5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54"/>
    </row>
    <row r="63" spans="1:16" x14ac:dyDescent="0.2">
      <c r="B63" s="1"/>
      <c r="C63" s="107" t="s">
        <v>164</v>
      </c>
      <c r="D63" s="107"/>
      <c r="E63" s="107"/>
      <c r="F63" s="192">
        <f>SUM(H6+H18)</f>
        <v>-67575</v>
      </c>
    </row>
    <row r="64" spans="1:16" x14ac:dyDescent="0.2">
      <c r="B64" s="1"/>
      <c r="C64" s="107" t="s">
        <v>154</v>
      </c>
      <c r="D64" s="107"/>
      <c r="E64" s="107"/>
      <c r="F64" s="193">
        <f>SUM(C47*0.1)</f>
        <v>66496.3</v>
      </c>
    </row>
    <row r="65" spans="2:8" x14ac:dyDescent="0.2">
      <c r="B65" s="1"/>
      <c r="C65" s="107" t="s">
        <v>155</v>
      </c>
      <c r="D65" s="107"/>
      <c r="E65" s="107"/>
      <c r="F65" s="193">
        <f>SUM(C47*0.25)</f>
        <v>166240.75</v>
      </c>
    </row>
    <row r="67" spans="2:8" ht="15" x14ac:dyDescent="0.25">
      <c r="B67" s="1"/>
      <c r="C67" s="186" t="s">
        <v>141</v>
      </c>
    </row>
    <row r="68" spans="2:8" x14ac:dyDescent="0.2">
      <c r="C68" s="187" t="s">
        <v>142</v>
      </c>
      <c r="F68" s="185" t="s">
        <v>143</v>
      </c>
      <c r="G68" s="185" t="s">
        <v>144</v>
      </c>
      <c r="H68" s="185" t="s">
        <v>145</v>
      </c>
    </row>
    <row r="69" spans="2:8" x14ac:dyDescent="0.2">
      <c r="C69" t="s">
        <v>146</v>
      </c>
      <c r="F69" s="28">
        <f>109696.15+13997.28</f>
        <v>123693.43</v>
      </c>
      <c r="G69" s="28">
        <v>34862</v>
      </c>
      <c r="H69" s="28">
        <f>SUM(F69:G69)</f>
        <v>158555.43</v>
      </c>
    </row>
    <row r="70" spans="2:8" x14ac:dyDescent="0.2">
      <c r="C70" t="s">
        <v>157</v>
      </c>
      <c r="F70" s="29">
        <v>174371.81</v>
      </c>
      <c r="G70" s="29">
        <v>37287.49</v>
      </c>
      <c r="H70" s="29">
        <f t="shared" ref="H70:H104" si="25">SUM(F70:G70)</f>
        <v>211659.3</v>
      </c>
    </row>
    <row r="71" spans="2:8" x14ac:dyDescent="0.2">
      <c r="F71" s="188">
        <f>SUM(F69:F70)</f>
        <v>298065.24</v>
      </c>
      <c r="G71" s="28">
        <f>SUM(G69:G70)</f>
        <v>72149.489999999991</v>
      </c>
      <c r="H71" s="28">
        <f t="shared" si="25"/>
        <v>370214.73</v>
      </c>
    </row>
    <row r="72" spans="2:8" x14ac:dyDescent="0.2">
      <c r="F72" s="28"/>
      <c r="G72" s="28"/>
      <c r="H72" s="28">
        <f t="shared" si="25"/>
        <v>0</v>
      </c>
    </row>
    <row r="73" spans="2:8" x14ac:dyDescent="0.2">
      <c r="C73" t="s">
        <v>147</v>
      </c>
      <c r="F73" s="28"/>
      <c r="G73" s="28"/>
      <c r="H73" s="28">
        <f t="shared" si="25"/>
        <v>0</v>
      </c>
    </row>
    <row r="74" spans="2:8" x14ac:dyDescent="0.2">
      <c r="C74" t="s">
        <v>146</v>
      </c>
      <c r="F74" s="28">
        <f>10165.2+928.5</f>
        <v>11093.7</v>
      </c>
      <c r="G74" s="28">
        <v>2603.35</v>
      </c>
      <c r="H74" s="28">
        <f t="shared" si="25"/>
        <v>13697.050000000001</v>
      </c>
    </row>
    <row r="75" spans="2:8" x14ac:dyDescent="0.2">
      <c r="C75" t="s">
        <v>157</v>
      </c>
      <c r="F75" s="29">
        <v>27270.49</v>
      </c>
      <c r="G75" s="29">
        <v>6285.36</v>
      </c>
      <c r="H75" s="29">
        <f t="shared" si="25"/>
        <v>33555.85</v>
      </c>
    </row>
    <row r="76" spans="2:8" x14ac:dyDescent="0.2">
      <c r="F76" s="188">
        <f>SUM(F74:F75)</f>
        <v>38364.19</v>
      </c>
      <c r="G76" s="28">
        <f>SUM(G74:G75)</f>
        <v>8888.7099999999991</v>
      </c>
      <c r="H76" s="28">
        <f t="shared" si="25"/>
        <v>47252.9</v>
      </c>
    </row>
    <row r="77" spans="2:8" x14ac:dyDescent="0.2">
      <c r="F77" s="28"/>
      <c r="G77" s="28"/>
      <c r="H77" s="28">
        <f t="shared" si="25"/>
        <v>0</v>
      </c>
    </row>
    <row r="78" spans="2:8" x14ac:dyDescent="0.2">
      <c r="C78" t="s">
        <v>148</v>
      </c>
      <c r="F78" s="28"/>
      <c r="G78" s="28"/>
      <c r="H78" s="28">
        <f t="shared" si="25"/>
        <v>0</v>
      </c>
    </row>
    <row r="79" spans="2:8" x14ac:dyDescent="0.2">
      <c r="C79" t="s">
        <v>146</v>
      </c>
      <c r="F79" s="28">
        <f>70.77+4.5</f>
        <v>75.27</v>
      </c>
      <c r="G79" s="28">
        <v>14.26</v>
      </c>
      <c r="H79" s="28">
        <f t="shared" si="25"/>
        <v>89.53</v>
      </c>
    </row>
    <row r="80" spans="2:8" x14ac:dyDescent="0.2">
      <c r="C80" t="s">
        <v>157</v>
      </c>
      <c r="F80" s="29">
        <v>200.19</v>
      </c>
      <c r="G80" s="29">
        <v>70.459999999999994</v>
      </c>
      <c r="H80" s="29">
        <f t="shared" si="25"/>
        <v>270.64999999999998</v>
      </c>
    </row>
    <row r="81" spans="3:8" x14ac:dyDescent="0.2">
      <c r="F81" s="188">
        <f>SUM(F79:F80)</f>
        <v>275.45999999999998</v>
      </c>
      <c r="G81" s="28">
        <f>SUM(G79:G80)</f>
        <v>84.72</v>
      </c>
      <c r="H81" s="28">
        <f t="shared" si="25"/>
        <v>360.17999999999995</v>
      </c>
    </row>
    <row r="82" spans="3:8" x14ac:dyDescent="0.2">
      <c r="F82" s="28"/>
      <c r="G82" s="28"/>
      <c r="H82" s="28">
        <f t="shared" si="25"/>
        <v>0</v>
      </c>
    </row>
    <row r="83" spans="3:8" x14ac:dyDescent="0.2">
      <c r="C83" t="s">
        <v>149</v>
      </c>
      <c r="F83" s="28"/>
      <c r="G83" s="28"/>
      <c r="H83" s="28">
        <f t="shared" si="25"/>
        <v>0</v>
      </c>
    </row>
    <row r="84" spans="3:8" x14ac:dyDescent="0.2">
      <c r="C84" t="s">
        <v>146</v>
      </c>
      <c r="F84" s="28">
        <f>8114.78+1043.37</f>
        <v>9158.15</v>
      </c>
      <c r="G84" s="28">
        <v>2593.59</v>
      </c>
      <c r="H84" s="28">
        <f t="shared" si="25"/>
        <v>11751.74</v>
      </c>
    </row>
    <row r="85" spans="3:8" x14ac:dyDescent="0.2">
      <c r="C85" t="s">
        <v>157</v>
      </c>
      <c r="F85" s="29">
        <v>12786.71</v>
      </c>
      <c r="G85" s="29">
        <v>2981.69</v>
      </c>
      <c r="H85" s="29">
        <f t="shared" si="25"/>
        <v>15768.4</v>
      </c>
    </row>
    <row r="86" spans="3:8" x14ac:dyDescent="0.2">
      <c r="F86" s="188">
        <f>SUM(F84:F85)</f>
        <v>21944.86</v>
      </c>
      <c r="G86" s="28">
        <f>SUM(G84:G85)</f>
        <v>5575.2800000000007</v>
      </c>
      <c r="H86" s="28">
        <f t="shared" si="25"/>
        <v>27520.14</v>
      </c>
    </row>
    <row r="87" spans="3:8" x14ac:dyDescent="0.2">
      <c r="F87" s="28"/>
      <c r="G87" s="28"/>
      <c r="H87" s="28">
        <f t="shared" si="25"/>
        <v>0</v>
      </c>
    </row>
    <row r="88" spans="3:8" x14ac:dyDescent="0.2">
      <c r="C88" t="s">
        <v>150</v>
      </c>
      <c r="F88" s="28"/>
      <c r="G88" s="28"/>
      <c r="H88" s="28">
        <f t="shared" si="25"/>
        <v>0</v>
      </c>
    </row>
    <row r="89" spans="3:8" x14ac:dyDescent="0.2">
      <c r="C89" t="s">
        <v>146</v>
      </c>
      <c r="F89" s="28">
        <f>11592.47+1469.7</f>
        <v>13062.17</v>
      </c>
      <c r="G89" s="28">
        <v>3799.07</v>
      </c>
      <c r="H89" s="28">
        <f t="shared" si="25"/>
        <v>16861.240000000002</v>
      </c>
    </row>
    <row r="90" spans="3:8" x14ac:dyDescent="0.2">
      <c r="C90" t="s">
        <v>157</v>
      </c>
      <c r="F90" s="29">
        <v>18988.900000000001</v>
      </c>
      <c r="G90" s="29">
        <v>4472.2700000000004</v>
      </c>
      <c r="H90" s="29">
        <f t="shared" si="25"/>
        <v>23461.170000000002</v>
      </c>
    </row>
    <row r="91" spans="3:8" x14ac:dyDescent="0.2">
      <c r="F91" s="188">
        <f>SUM(F89:F90)</f>
        <v>32051.07</v>
      </c>
      <c r="G91" s="28">
        <f>SUM(G89:G90)</f>
        <v>8271.34</v>
      </c>
      <c r="H91" s="28">
        <f t="shared" si="25"/>
        <v>40322.410000000003</v>
      </c>
    </row>
    <row r="92" spans="3:8" x14ac:dyDescent="0.2">
      <c r="H92" s="28">
        <f t="shared" si="25"/>
        <v>0</v>
      </c>
    </row>
    <row r="93" spans="3:8" x14ac:dyDescent="0.2">
      <c r="C93" t="s">
        <v>151</v>
      </c>
      <c r="H93" s="28">
        <f t="shared" si="25"/>
        <v>0</v>
      </c>
    </row>
    <row r="94" spans="3:8" x14ac:dyDescent="0.2">
      <c r="C94" t="s">
        <v>146</v>
      </c>
      <c r="F94">
        <f>607.26+77.9</f>
        <v>685.16</v>
      </c>
      <c r="G94">
        <v>301.63</v>
      </c>
      <c r="H94" s="28">
        <f t="shared" si="25"/>
        <v>986.79</v>
      </c>
    </row>
    <row r="95" spans="3:8" x14ac:dyDescent="0.2">
      <c r="C95" t="s">
        <v>157</v>
      </c>
      <c r="F95" s="17">
        <v>993.89</v>
      </c>
      <c r="G95" s="17">
        <v>234.01</v>
      </c>
      <c r="H95" s="29">
        <f t="shared" si="25"/>
        <v>1227.9000000000001</v>
      </c>
    </row>
    <row r="96" spans="3:8" x14ac:dyDescent="0.2">
      <c r="F96" s="188">
        <f>SUM(F94:F95)</f>
        <v>1679.05</v>
      </c>
      <c r="G96" s="28">
        <f>SUM(G94:G95)</f>
        <v>535.64</v>
      </c>
      <c r="H96" s="28">
        <f t="shared" si="25"/>
        <v>2214.69</v>
      </c>
    </row>
    <row r="97" spans="3:8" x14ac:dyDescent="0.2">
      <c r="F97" s="28"/>
      <c r="G97" s="28"/>
      <c r="H97" s="28">
        <f t="shared" si="25"/>
        <v>0</v>
      </c>
    </row>
    <row r="98" spans="3:8" x14ac:dyDescent="0.2">
      <c r="C98" t="s">
        <v>152</v>
      </c>
      <c r="F98" s="28"/>
      <c r="G98" s="28"/>
      <c r="H98" s="28">
        <f t="shared" si="25"/>
        <v>0</v>
      </c>
    </row>
    <row r="99" spans="3:8" x14ac:dyDescent="0.2">
      <c r="C99" t="s">
        <v>146</v>
      </c>
      <c r="F99" s="28">
        <f>339.63+32.22</f>
        <v>371.85</v>
      </c>
      <c r="G99" s="28">
        <v>88.53</v>
      </c>
      <c r="H99" s="28">
        <f t="shared" si="25"/>
        <v>460.38</v>
      </c>
    </row>
    <row r="100" spans="3:8" x14ac:dyDescent="0.2">
      <c r="C100" t="s">
        <v>157</v>
      </c>
      <c r="F100" s="29">
        <v>1257.78</v>
      </c>
      <c r="G100" s="29">
        <v>254.15</v>
      </c>
      <c r="H100" s="29">
        <f t="shared" si="25"/>
        <v>1511.93</v>
      </c>
    </row>
    <row r="101" spans="3:8" x14ac:dyDescent="0.2">
      <c r="F101" s="188">
        <f>SUM(F99:F100)</f>
        <v>1629.63</v>
      </c>
      <c r="G101" s="28">
        <f>SUM(G99:G100)</f>
        <v>342.68</v>
      </c>
      <c r="H101" s="28">
        <f t="shared" si="25"/>
        <v>1972.3100000000002</v>
      </c>
    </row>
    <row r="102" spans="3:8" x14ac:dyDescent="0.2">
      <c r="F102" s="28"/>
      <c r="G102" s="28"/>
      <c r="H102" s="28">
        <f t="shared" si="25"/>
        <v>0</v>
      </c>
    </row>
    <row r="103" spans="3:8" x14ac:dyDescent="0.2">
      <c r="F103" s="28"/>
      <c r="G103" s="28"/>
      <c r="H103" s="28">
        <f t="shared" si="25"/>
        <v>0</v>
      </c>
    </row>
    <row r="104" spans="3:8" x14ac:dyDescent="0.2">
      <c r="C104" t="s">
        <v>153</v>
      </c>
      <c r="F104" s="28">
        <f>SUM(F69+F74+F79+F84+F89+F94+F99)</f>
        <v>158139.73000000001</v>
      </c>
      <c r="G104" s="28">
        <f>SUM(G69+G74+G79+G84+G89+G94+G99)</f>
        <v>44262.429999999993</v>
      </c>
      <c r="H104" s="28">
        <f t="shared" si="25"/>
        <v>202402.16</v>
      </c>
    </row>
  </sheetData>
  <phoneticPr fontId="6" type="noConversion"/>
  <printOptions horizontalCentered="1"/>
  <pageMargins left="0.5" right="0.5" top="0.5" bottom="0.5" header="0.5" footer="0.5"/>
  <pageSetup scale="78" orientation="landscape" r:id="rId1"/>
  <headerFooter alignWithMargins="0"/>
  <rowBreaks count="1" manualBreakCount="1">
    <brk id="47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102"/>
  <sheetViews>
    <sheetView tabSelected="1" zoomScaleNormal="100" workbookViewId="0">
      <selection activeCell="D40" sqref="D40"/>
    </sheetView>
  </sheetViews>
  <sheetFormatPr defaultRowHeight="12.75" x14ac:dyDescent="0.2"/>
  <cols>
    <col min="4" max="5" width="15.5703125" customWidth="1"/>
    <col min="6" max="6" width="13.42578125" customWidth="1"/>
    <col min="7" max="9" width="16.140625" customWidth="1"/>
    <col min="10" max="12" width="16.85546875" customWidth="1"/>
    <col min="13" max="13" width="15.5703125" customWidth="1"/>
    <col min="14" max="14" width="20.42578125" hidden="1" customWidth="1"/>
    <col min="15" max="15" width="0" hidden="1" customWidth="1"/>
  </cols>
  <sheetData>
    <row r="1" spans="1:14" x14ac:dyDescent="0.2">
      <c r="A1" t="s">
        <v>119</v>
      </c>
    </row>
    <row r="3" spans="1:14" x14ac:dyDescent="0.2">
      <c r="A3" s="66" t="s">
        <v>102</v>
      </c>
    </row>
    <row r="4" spans="1:14" x14ac:dyDescent="0.2">
      <c r="A4" s="85" t="s">
        <v>103</v>
      </c>
      <c r="B4" s="85"/>
      <c r="D4" s="84"/>
      <c r="E4" s="84"/>
    </row>
    <row r="5" spans="1:14" x14ac:dyDescent="0.2">
      <c r="B5" s="2" t="s">
        <v>104</v>
      </c>
      <c r="C5" s="2"/>
      <c r="D5" s="2"/>
      <c r="E5" s="2"/>
      <c r="F5" s="2"/>
      <c r="G5" s="2"/>
      <c r="H5" s="2"/>
      <c r="I5" s="2"/>
      <c r="J5" s="1"/>
      <c r="K5" s="1"/>
    </row>
    <row r="6" spans="1:14" x14ac:dyDescent="0.2">
      <c r="B6" s="27"/>
      <c r="I6" s="189">
        <v>41788</v>
      </c>
    </row>
    <row r="7" spans="1:14" x14ac:dyDescent="0.2">
      <c r="D7" s="78" t="s">
        <v>0</v>
      </c>
      <c r="E7" s="78" t="s">
        <v>0</v>
      </c>
      <c r="F7" s="78" t="s">
        <v>1</v>
      </c>
      <c r="G7" s="78" t="s">
        <v>2</v>
      </c>
      <c r="H7" s="78" t="s">
        <v>2</v>
      </c>
      <c r="I7" s="78" t="s">
        <v>3</v>
      </c>
      <c r="J7" s="78" t="s">
        <v>3</v>
      </c>
      <c r="K7" s="79" t="s">
        <v>4</v>
      </c>
      <c r="L7" s="79" t="s">
        <v>4</v>
      </c>
    </row>
    <row r="8" spans="1:14" x14ac:dyDescent="0.2">
      <c r="D8" s="80" t="s">
        <v>5</v>
      </c>
      <c r="E8" s="80" t="s">
        <v>5</v>
      </c>
      <c r="F8" s="80" t="s">
        <v>6</v>
      </c>
      <c r="G8" s="80" t="s">
        <v>7</v>
      </c>
      <c r="H8" s="80" t="s">
        <v>7</v>
      </c>
      <c r="I8" s="80" t="s">
        <v>8</v>
      </c>
      <c r="J8" s="80" t="s">
        <v>8</v>
      </c>
      <c r="K8" s="81" t="s">
        <v>107</v>
      </c>
      <c r="L8" s="81" t="s">
        <v>107</v>
      </c>
    </row>
    <row r="9" spans="1:14" x14ac:dyDescent="0.2">
      <c r="A9" s="17"/>
      <c r="B9" s="17"/>
      <c r="C9" s="3"/>
      <c r="D9" s="86" t="s">
        <v>105</v>
      </c>
      <c r="E9" s="86" t="s">
        <v>106</v>
      </c>
      <c r="F9" s="82"/>
      <c r="G9" s="86" t="s">
        <v>105</v>
      </c>
      <c r="H9" s="86" t="s">
        <v>106</v>
      </c>
      <c r="I9" s="86" t="s">
        <v>105</v>
      </c>
      <c r="J9" s="86" t="s">
        <v>106</v>
      </c>
      <c r="K9" s="86" t="s">
        <v>105</v>
      </c>
      <c r="L9" s="86" t="s">
        <v>106</v>
      </c>
      <c r="M9" s="5"/>
    </row>
    <row r="10" spans="1:14" x14ac:dyDescent="0.2">
      <c r="A10" s="5"/>
      <c r="B10" s="5"/>
      <c r="C10" s="3"/>
      <c r="D10" s="139">
        <v>0.8</v>
      </c>
      <c r="E10" s="139">
        <v>0.2</v>
      </c>
      <c r="F10" s="69"/>
      <c r="G10" s="139">
        <v>0.8</v>
      </c>
      <c r="H10" s="139">
        <v>0.2</v>
      </c>
      <c r="I10" s="139">
        <v>0.8</v>
      </c>
      <c r="J10" s="139">
        <v>0.2</v>
      </c>
      <c r="K10" s="139">
        <v>0.8</v>
      </c>
      <c r="L10" s="139">
        <v>0.2</v>
      </c>
      <c r="M10" s="5"/>
    </row>
    <row r="11" spans="1:14" x14ac:dyDescent="0.2">
      <c r="A11" s="6" t="s">
        <v>11</v>
      </c>
      <c r="B11" s="5"/>
      <c r="C11" s="7">
        <v>113</v>
      </c>
      <c r="D11" s="143">
        <f>434192/26</f>
        <v>16699.692307692309</v>
      </c>
      <c r="E11" s="140"/>
      <c r="F11" s="9">
        <v>5.5</v>
      </c>
      <c r="G11" s="146">
        <f>(D11*F11)</f>
        <v>91848.307692307702</v>
      </c>
      <c r="H11" s="10"/>
      <c r="I11" s="146">
        <f>SUM('Budget Analysis'!C5+'Budget Analysis'!H5-'Budget Analysis'!J5)</f>
        <v>95313.760000000009</v>
      </c>
      <c r="J11" s="11">
        <f>SUM(H35)</f>
        <v>129046</v>
      </c>
      <c r="K11" s="177">
        <f>I11-G11</f>
        <v>3465.4523076923069</v>
      </c>
      <c r="L11" s="180">
        <f>J11-H11</f>
        <v>129046</v>
      </c>
      <c r="M11" s="5"/>
    </row>
    <row r="12" spans="1:14" x14ac:dyDescent="0.2">
      <c r="A12" s="69" t="s">
        <v>48</v>
      </c>
      <c r="C12" s="70"/>
      <c r="D12" s="137">
        <f t="shared" ref="D12:H12" si="0">SUM(D11)</f>
        <v>16699.692307692309</v>
      </c>
      <c r="E12" s="137">
        <f t="shared" si="0"/>
        <v>0</v>
      </c>
      <c r="F12" s="137">
        <f t="shared" si="0"/>
        <v>5.5</v>
      </c>
      <c r="G12" s="137">
        <f t="shared" si="0"/>
        <v>91848.307692307702</v>
      </c>
      <c r="H12" s="137">
        <f t="shared" si="0"/>
        <v>0</v>
      </c>
      <c r="I12" s="137">
        <f>SUM(I11)</f>
        <v>95313.760000000009</v>
      </c>
      <c r="J12" s="137">
        <f>SUM(J11)</f>
        <v>129046</v>
      </c>
      <c r="K12" s="178">
        <f>SUM(K11)</f>
        <v>3465.4523076923069</v>
      </c>
      <c r="L12" s="181">
        <f>SUM(L11:L11)</f>
        <v>129046</v>
      </c>
      <c r="M12" s="12"/>
    </row>
    <row r="13" spans="1:14" x14ac:dyDescent="0.2">
      <c r="A13" s="69"/>
      <c r="C13" s="14"/>
      <c r="D13" s="13"/>
      <c r="E13" s="141"/>
      <c r="F13" s="9"/>
      <c r="G13" s="11"/>
      <c r="H13" s="11"/>
      <c r="I13" s="11"/>
      <c r="J13" s="11"/>
      <c r="K13" s="11"/>
      <c r="L13" s="58"/>
      <c r="M13" s="12"/>
    </row>
    <row r="14" spans="1:14" x14ac:dyDescent="0.2">
      <c r="A14" s="6" t="s">
        <v>12</v>
      </c>
      <c r="B14" s="5"/>
      <c r="C14" s="7">
        <v>211</v>
      </c>
      <c r="D14" s="143">
        <f>65538.56/26</f>
        <v>2520.7138461538461</v>
      </c>
      <c r="E14" s="140"/>
      <c r="F14" s="9">
        <v>5.5</v>
      </c>
      <c r="G14" s="146">
        <f t="shared" ref="G14:G19" si="1">(D14*F14)</f>
        <v>13863.926153846154</v>
      </c>
      <c r="H14" s="10"/>
      <c r="I14" s="146">
        <f>SUM('Budget Analysis'!C8+'Budget Analysis'!H8-'Budget Analysis'!J8)</f>
        <v>18084.809999999998</v>
      </c>
      <c r="J14" s="13">
        <f t="shared" ref="J14:J19" si="2">SUM(H36)</f>
        <v>14336</v>
      </c>
      <c r="K14" s="177">
        <f>I14-G14</f>
        <v>4220.8838461538435</v>
      </c>
      <c r="L14" s="180">
        <f>J14-H14</f>
        <v>14336</v>
      </c>
      <c r="M14" s="12"/>
      <c r="N14" s="16">
        <f>SUM(G12:G19)</f>
        <v>124043.15775384617</v>
      </c>
    </row>
    <row r="15" spans="1:14" x14ac:dyDescent="0.2">
      <c r="A15" s="6" t="s">
        <v>118</v>
      </c>
      <c r="B15" s="5"/>
      <c r="C15" s="7">
        <v>212</v>
      </c>
      <c r="D15" s="143">
        <v>35.94</v>
      </c>
      <c r="E15" s="8"/>
      <c r="F15" s="14">
        <v>2.5</v>
      </c>
      <c r="G15" s="146">
        <f t="shared" si="1"/>
        <v>89.85</v>
      </c>
      <c r="H15" s="10"/>
      <c r="I15" s="146">
        <f>SUM('Budget Analysis'!C9+'Budget Analysis'!H9-'Budget Analysis'!J9)</f>
        <v>107.54000000000002</v>
      </c>
      <c r="J15" s="13">
        <f t="shared" si="2"/>
        <v>67</v>
      </c>
      <c r="K15" s="177">
        <f t="shared" ref="K15:K19" si="3">I15-G15</f>
        <v>17.690000000000026</v>
      </c>
      <c r="L15" s="180">
        <f t="shared" ref="L15:L19" si="4">J15-H15</f>
        <v>67</v>
      </c>
      <c r="M15" s="5"/>
      <c r="N15" s="16">
        <f>SUM(N14:N14)</f>
        <v>124043.15775384617</v>
      </c>
    </row>
    <row r="16" spans="1:14" x14ac:dyDescent="0.2">
      <c r="A16" s="6" t="s">
        <v>14</v>
      </c>
      <c r="B16" s="5"/>
      <c r="C16" s="7">
        <v>220</v>
      </c>
      <c r="D16" s="143">
        <f>D11*0.0765</f>
        <v>1277.5264615384615</v>
      </c>
      <c r="E16" s="140"/>
      <c r="F16" s="9">
        <v>5.5</v>
      </c>
      <c r="G16" s="146">
        <f t="shared" si="1"/>
        <v>7026.3955384615383</v>
      </c>
      <c r="H16" s="10"/>
      <c r="I16" s="146">
        <f>SUM('Budget Analysis'!C10+'Budget Analysis'!H10-'Budget Analysis'!J10)</f>
        <v>9798.14</v>
      </c>
      <c r="J16" s="13">
        <f t="shared" si="2"/>
        <v>9868</v>
      </c>
      <c r="K16" s="177">
        <f t="shared" si="3"/>
        <v>2771.7444615384611</v>
      </c>
      <c r="L16" s="180">
        <f t="shared" si="4"/>
        <v>9868</v>
      </c>
      <c r="M16" s="12"/>
      <c r="N16">
        <f>N14/N15</f>
        <v>1</v>
      </c>
    </row>
    <row r="17" spans="1:16" x14ac:dyDescent="0.2">
      <c r="A17" s="6" t="s">
        <v>15</v>
      </c>
      <c r="B17" s="5"/>
      <c r="C17" s="7">
        <v>230</v>
      </c>
      <c r="D17" s="144">
        <f>D11*0.1089</f>
        <v>1818.5964923076924</v>
      </c>
      <c r="E17" s="142"/>
      <c r="F17" s="9">
        <v>5.5</v>
      </c>
      <c r="G17" s="146">
        <f t="shared" si="1"/>
        <v>10002.280707692309</v>
      </c>
      <c r="H17" s="10"/>
      <c r="I17" s="146">
        <f>SUM('Budget Analysis'!C11+'Budget Analysis'!H11-'Budget Analysis'!J11)</f>
        <v>12719.93</v>
      </c>
      <c r="J17" s="13">
        <f t="shared" si="2"/>
        <v>13312</v>
      </c>
      <c r="K17" s="177">
        <f t="shared" si="3"/>
        <v>2717.6492923076912</v>
      </c>
      <c r="L17" s="180">
        <f t="shared" si="4"/>
        <v>13312</v>
      </c>
      <c r="M17" s="12"/>
    </row>
    <row r="18" spans="1:16" x14ac:dyDescent="0.2">
      <c r="A18" s="6" t="s">
        <v>16</v>
      </c>
      <c r="B18" s="5"/>
      <c r="C18" s="7">
        <v>250</v>
      </c>
      <c r="D18" s="144">
        <f>D11*0.57%</f>
        <v>95.188246153846151</v>
      </c>
      <c r="E18" s="15"/>
      <c r="F18" s="9">
        <v>5.5</v>
      </c>
      <c r="G18" s="146">
        <f t="shared" si="1"/>
        <v>523.53535384615384</v>
      </c>
      <c r="H18" s="10"/>
      <c r="I18" s="146">
        <f>SUM('Budget Analysis'!C12+'Budget Analysis'!H12-'Budget Analysis'!J12)</f>
        <v>1100.95</v>
      </c>
      <c r="J18" s="13">
        <f t="shared" si="2"/>
        <v>1290</v>
      </c>
      <c r="K18" s="177">
        <f t="shared" si="3"/>
        <v>577.41464615384621</v>
      </c>
      <c r="L18" s="180">
        <f t="shared" si="4"/>
        <v>1290</v>
      </c>
      <c r="M18" s="5"/>
      <c r="N18" s="16"/>
    </row>
    <row r="19" spans="1:16" x14ac:dyDescent="0.2">
      <c r="A19" s="6" t="s">
        <v>17</v>
      </c>
      <c r="B19" s="41"/>
      <c r="C19" s="3">
        <v>260</v>
      </c>
      <c r="D19" s="145">
        <f>D11*0.75%</f>
        <v>125.2476923076923</v>
      </c>
      <c r="E19" s="148"/>
      <c r="F19" s="14">
        <v>5.5</v>
      </c>
      <c r="G19" s="146">
        <f t="shared" si="1"/>
        <v>688.8623076923077</v>
      </c>
      <c r="H19" s="149"/>
      <c r="I19" s="143">
        <f>SUM('Budget Analysis'!C13+'Budget Analysis'!H13-'Budget Analysis'!J13)</f>
        <v>1041.3699999999999</v>
      </c>
      <c r="J19" s="13">
        <f t="shared" si="2"/>
        <v>1290</v>
      </c>
      <c r="K19" s="184">
        <f t="shared" si="3"/>
        <v>352.5076923076922</v>
      </c>
      <c r="L19" s="180">
        <f t="shared" si="4"/>
        <v>1290</v>
      </c>
      <c r="M19" s="12"/>
      <c r="N19" s="16"/>
    </row>
    <row r="20" spans="1:16" x14ac:dyDescent="0.2">
      <c r="A20" s="69" t="s">
        <v>49</v>
      </c>
      <c r="B20" s="5"/>
      <c r="C20" s="75"/>
      <c r="D20" s="138">
        <f t="shared" ref="D20:H20" si="5">SUM(D14:D19)</f>
        <v>5873.2127384615387</v>
      </c>
      <c r="E20" s="138">
        <f t="shared" si="5"/>
        <v>0</v>
      </c>
      <c r="F20" s="138">
        <f t="shared" si="5"/>
        <v>30</v>
      </c>
      <c r="G20" s="138">
        <f t="shared" si="5"/>
        <v>32194.850061538462</v>
      </c>
      <c r="H20" s="138">
        <f t="shared" si="5"/>
        <v>0</v>
      </c>
      <c r="I20" s="138">
        <f>SUM(I14:I19)</f>
        <v>42852.74</v>
      </c>
      <c r="J20" s="138">
        <f>SUM(J14:J19)</f>
        <v>40163</v>
      </c>
      <c r="K20" s="182">
        <f>SUM(K14:K19)</f>
        <v>10657.889938461534</v>
      </c>
      <c r="L20" s="181">
        <f>SUM(L14:L19)</f>
        <v>40163</v>
      </c>
      <c r="M20" s="12"/>
      <c r="N20" s="16"/>
    </row>
    <row r="21" spans="1:16" x14ac:dyDescent="0.2">
      <c r="A21" s="6"/>
      <c r="B21" s="5"/>
      <c r="C21" s="20"/>
      <c r="D21" s="20"/>
      <c r="E21" s="20"/>
      <c r="F21" s="20"/>
      <c r="G21" s="20"/>
      <c r="H21" s="20"/>
      <c r="I21" s="20"/>
      <c r="J21" s="20"/>
      <c r="K21" s="20"/>
      <c r="L21" s="60"/>
      <c r="M21" s="5"/>
    </row>
    <row r="22" spans="1:16" x14ac:dyDescent="0.2">
      <c r="A22" s="4"/>
      <c r="B22" s="17"/>
      <c r="C22" s="18"/>
      <c r="D22" s="21">
        <f>SUM(D12+D20)</f>
        <v>22572.905046153846</v>
      </c>
      <c r="E22" s="21">
        <f t="shared" ref="E22:L22" si="6">SUM(E12+E20)</f>
        <v>0</v>
      </c>
      <c r="F22" s="21">
        <f t="shared" si="6"/>
        <v>35.5</v>
      </c>
      <c r="G22" s="21">
        <f t="shared" si="6"/>
        <v>124043.15775384617</v>
      </c>
      <c r="H22" s="21">
        <f t="shared" si="6"/>
        <v>0</v>
      </c>
      <c r="I22" s="21">
        <f t="shared" si="6"/>
        <v>138166.5</v>
      </c>
      <c r="J22" s="21">
        <f t="shared" si="6"/>
        <v>169209</v>
      </c>
      <c r="K22" s="21">
        <f t="shared" si="6"/>
        <v>14123.342246153841</v>
      </c>
      <c r="L22" s="21">
        <f t="shared" si="6"/>
        <v>169209</v>
      </c>
      <c r="M22" s="23"/>
    </row>
    <row r="23" spans="1:16" ht="13.5" thickBot="1" x14ac:dyDescent="0.25">
      <c r="L23" s="83"/>
      <c r="M23" s="5"/>
      <c r="N23" s="24"/>
    </row>
    <row r="24" spans="1:16" ht="13.5" thickTop="1" x14ac:dyDescent="0.2">
      <c r="H24" s="205" t="s">
        <v>124</v>
      </c>
      <c r="I24" s="205"/>
      <c r="K24" s="150" t="s">
        <v>123</v>
      </c>
      <c r="M24" s="5"/>
    </row>
    <row r="25" spans="1:16" x14ac:dyDescent="0.2">
      <c r="D25" t="s">
        <v>166</v>
      </c>
      <c r="F25" s="56">
        <v>1</v>
      </c>
      <c r="G25" t="s">
        <v>66</v>
      </c>
      <c r="H25" s="25">
        <v>41806</v>
      </c>
      <c r="I25" s="25">
        <v>41819</v>
      </c>
      <c r="K25" s="25">
        <v>41831</v>
      </c>
      <c r="N25" s="25"/>
      <c r="P25" s="25"/>
    </row>
    <row r="26" spans="1:16" x14ac:dyDescent="0.2">
      <c r="F26" s="56">
        <v>2</v>
      </c>
      <c r="G26" t="s">
        <v>67</v>
      </c>
      <c r="H26" s="25">
        <v>41820</v>
      </c>
      <c r="I26" s="25">
        <v>41833</v>
      </c>
      <c r="K26" s="25">
        <v>41845</v>
      </c>
      <c r="N26" s="25"/>
      <c r="P26" s="25"/>
    </row>
    <row r="27" spans="1:16" x14ac:dyDescent="0.2">
      <c r="F27" s="56">
        <v>3</v>
      </c>
      <c r="G27" t="s">
        <v>68</v>
      </c>
      <c r="H27" s="25">
        <v>41834</v>
      </c>
      <c r="I27" s="25">
        <v>41847</v>
      </c>
      <c r="K27" s="25">
        <v>41859</v>
      </c>
    </row>
    <row r="28" spans="1:16" x14ac:dyDescent="0.2">
      <c r="A28" s="93"/>
      <c r="B28" s="93"/>
      <c r="C28" s="93"/>
      <c r="D28" s="93"/>
      <c r="E28" s="93"/>
      <c r="F28" s="56">
        <v>4</v>
      </c>
      <c r="G28" t="s">
        <v>69</v>
      </c>
      <c r="H28" s="25">
        <v>41848</v>
      </c>
      <c r="I28" s="25">
        <v>41861</v>
      </c>
      <c r="K28" s="25">
        <v>41873</v>
      </c>
    </row>
    <row r="29" spans="1:16" x14ac:dyDescent="0.2">
      <c r="A29" s="93"/>
      <c r="B29" s="93"/>
      <c r="C29" s="93"/>
      <c r="D29" s="93"/>
      <c r="E29" s="93"/>
      <c r="F29" s="56">
        <v>5</v>
      </c>
      <c r="G29" t="s">
        <v>44</v>
      </c>
      <c r="H29" s="25">
        <v>41862</v>
      </c>
      <c r="I29" s="25">
        <v>41875</v>
      </c>
      <c r="K29" s="25">
        <v>41887</v>
      </c>
    </row>
    <row r="30" spans="1:16" x14ac:dyDescent="0.2">
      <c r="A30" s="93"/>
      <c r="B30" s="93"/>
      <c r="C30" s="93"/>
      <c r="D30" s="93"/>
      <c r="E30" s="93"/>
      <c r="F30" s="56">
        <v>6</v>
      </c>
      <c r="G30" t="s">
        <v>45</v>
      </c>
      <c r="H30" s="25">
        <v>41876</v>
      </c>
      <c r="I30" s="25">
        <v>41880</v>
      </c>
      <c r="K30" s="25">
        <v>41901</v>
      </c>
      <c r="L30" t="s">
        <v>70</v>
      </c>
    </row>
    <row r="31" spans="1:16" x14ac:dyDescent="0.2">
      <c r="F31" s="56"/>
    </row>
    <row r="32" spans="1:16" x14ac:dyDescent="0.2">
      <c r="F32" s="56"/>
    </row>
    <row r="33" spans="1:11" x14ac:dyDescent="0.2">
      <c r="G33" s="88"/>
      <c r="H33" s="88"/>
      <c r="I33" s="88"/>
      <c r="J33" s="88"/>
      <c r="K33" s="88"/>
    </row>
    <row r="34" spans="1:11" x14ac:dyDescent="0.2">
      <c r="A34" s="87"/>
      <c r="B34" s="88"/>
      <c r="C34" s="89"/>
      <c r="D34" s="88"/>
      <c r="E34" s="88"/>
      <c r="F34" s="88"/>
      <c r="G34" s="153" t="s">
        <v>105</v>
      </c>
      <c r="H34" s="153" t="s">
        <v>106</v>
      </c>
      <c r="I34" s="153" t="s">
        <v>117</v>
      </c>
      <c r="J34" s="88"/>
      <c r="K34" s="88"/>
    </row>
    <row r="35" spans="1:11" ht="14.25" x14ac:dyDescent="0.2">
      <c r="A35" s="147" t="s">
        <v>167</v>
      </c>
      <c r="B35" s="88"/>
      <c r="C35" s="89"/>
      <c r="D35" s="88"/>
      <c r="E35" s="152" t="s">
        <v>110</v>
      </c>
      <c r="F35" s="88"/>
      <c r="G35" s="55">
        <v>427954</v>
      </c>
      <c r="H35" s="55">
        <v>129046</v>
      </c>
      <c r="I35" s="55">
        <f>SUM(G35:H35)</f>
        <v>557000</v>
      </c>
      <c r="J35" s="55"/>
      <c r="K35" s="88"/>
    </row>
    <row r="36" spans="1:11" ht="14.25" x14ac:dyDescent="0.2">
      <c r="A36" s="147" t="s">
        <v>168</v>
      </c>
      <c r="B36" s="88"/>
      <c r="C36" s="89"/>
      <c r="D36" s="88"/>
      <c r="E36" s="152" t="s">
        <v>111</v>
      </c>
      <c r="F36" s="88"/>
      <c r="G36" s="55">
        <v>47449</v>
      </c>
      <c r="H36" s="55">
        <v>14336</v>
      </c>
      <c r="I36" s="55">
        <f t="shared" ref="I36:I41" si="7">SUM(G36:H36)</f>
        <v>61785</v>
      </c>
      <c r="J36" s="55"/>
      <c r="K36" s="88"/>
    </row>
    <row r="37" spans="1:11" ht="14.25" x14ac:dyDescent="0.2">
      <c r="A37" s="147" t="s">
        <v>169</v>
      </c>
      <c r="B37" s="88"/>
      <c r="C37" s="88"/>
      <c r="D37" s="88"/>
      <c r="E37" s="152" t="s">
        <v>112</v>
      </c>
      <c r="F37" s="88"/>
      <c r="G37" s="55">
        <v>308</v>
      </c>
      <c r="H37" s="55">
        <v>67</v>
      </c>
      <c r="I37" s="55">
        <f t="shared" si="7"/>
        <v>375</v>
      </c>
      <c r="J37" s="55"/>
      <c r="K37" s="88"/>
    </row>
    <row r="38" spans="1:11" ht="14.25" x14ac:dyDescent="0.2">
      <c r="A38" s="147" t="s">
        <v>170</v>
      </c>
      <c r="B38" s="88"/>
      <c r="C38" s="88"/>
      <c r="D38" s="88"/>
      <c r="E38" s="152" t="s">
        <v>113</v>
      </c>
      <c r="F38" s="88"/>
      <c r="G38" s="55">
        <v>32743</v>
      </c>
      <c r="H38" s="55">
        <v>9868</v>
      </c>
      <c r="I38" s="55">
        <f t="shared" si="7"/>
        <v>42611</v>
      </c>
      <c r="J38" s="55"/>
      <c r="K38" s="88"/>
    </row>
    <row r="39" spans="1:11" ht="14.25" x14ac:dyDescent="0.2">
      <c r="A39" s="147" t="s">
        <v>171</v>
      </c>
      <c r="B39" s="88"/>
      <c r="C39" s="88"/>
      <c r="D39" s="88"/>
      <c r="E39" s="152" t="s">
        <v>114</v>
      </c>
      <c r="F39" s="88"/>
      <c r="G39" s="55">
        <v>44171</v>
      </c>
      <c r="H39" s="55">
        <v>13312</v>
      </c>
      <c r="I39" s="55">
        <f t="shared" si="7"/>
        <v>57483</v>
      </c>
      <c r="J39" s="55"/>
      <c r="K39" s="88"/>
    </row>
    <row r="40" spans="1:11" ht="14.25" x14ac:dyDescent="0.2">
      <c r="A40" s="147" t="s">
        <v>172</v>
      </c>
      <c r="B40" s="88"/>
      <c r="C40" s="88"/>
      <c r="D40" s="88"/>
      <c r="E40" s="152" t="s">
        <v>115</v>
      </c>
      <c r="F40" s="88"/>
      <c r="G40" s="55">
        <v>4280</v>
      </c>
      <c r="H40" s="55">
        <v>1290</v>
      </c>
      <c r="I40" s="55">
        <f t="shared" si="7"/>
        <v>5570</v>
      </c>
      <c r="J40" s="55"/>
      <c r="K40" s="88"/>
    </row>
    <row r="41" spans="1:11" ht="14.25" x14ac:dyDescent="0.2">
      <c r="A41" s="147" t="s">
        <v>173</v>
      </c>
      <c r="B41" s="88"/>
      <c r="C41" s="88"/>
      <c r="D41" s="55"/>
      <c r="E41" s="152" t="s">
        <v>116</v>
      </c>
      <c r="F41" s="88"/>
      <c r="G41" s="55">
        <v>4280</v>
      </c>
      <c r="H41" s="55">
        <v>1290</v>
      </c>
      <c r="I41" s="55">
        <f t="shared" si="7"/>
        <v>5570</v>
      </c>
      <c r="J41" s="55"/>
      <c r="K41" s="88"/>
    </row>
    <row r="42" spans="1:11" x14ac:dyDescent="0.2">
      <c r="A42" s="88"/>
      <c r="B42" s="88"/>
      <c r="C42" s="88"/>
      <c r="D42" s="55"/>
      <c r="E42" s="55"/>
      <c r="F42" s="88"/>
      <c r="G42" s="55"/>
      <c r="H42" s="55"/>
      <c r="I42" s="55"/>
      <c r="J42" s="55"/>
      <c r="K42" s="88"/>
    </row>
    <row r="43" spans="1:11" x14ac:dyDescent="0.2">
      <c r="A43" s="88"/>
      <c r="B43" s="88"/>
      <c r="C43" s="88"/>
      <c r="D43" s="88"/>
      <c r="E43" s="88"/>
      <c r="F43" s="88"/>
      <c r="G43" s="55"/>
      <c r="H43" s="55"/>
      <c r="I43" s="55"/>
      <c r="J43" s="55"/>
      <c r="K43" s="88"/>
    </row>
    <row r="44" spans="1:11" x14ac:dyDescent="0.2">
      <c r="A44" t="s">
        <v>120</v>
      </c>
      <c r="G44" s="28"/>
      <c r="H44" s="28"/>
      <c r="I44" s="28"/>
      <c r="J44" s="28"/>
      <c r="K44" s="88"/>
    </row>
    <row r="45" spans="1:11" x14ac:dyDescent="0.2">
      <c r="A45" t="s">
        <v>121</v>
      </c>
      <c r="G45" s="28"/>
      <c r="H45" s="28"/>
      <c r="I45" s="28"/>
      <c r="J45" s="28"/>
      <c r="K45" s="88"/>
    </row>
    <row r="46" spans="1:11" x14ac:dyDescent="0.2">
      <c r="A46" t="s">
        <v>122</v>
      </c>
      <c r="K46" s="88"/>
    </row>
    <row r="47" spans="1:11" x14ac:dyDescent="0.2">
      <c r="K47" s="88"/>
    </row>
    <row r="48" spans="1:11" x14ac:dyDescent="0.2">
      <c r="A48" s="88"/>
      <c r="B48" s="88"/>
      <c r="C48" s="88"/>
      <c r="D48" s="88"/>
      <c r="E48" s="88"/>
      <c r="F48" s="88"/>
      <c r="G48" s="55"/>
      <c r="H48" s="55"/>
      <c r="I48" s="55"/>
      <c r="J48" s="55"/>
      <c r="K48" s="88"/>
    </row>
    <row r="50" spans="1:7" ht="24" customHeight="1" x14ac:dyDescent="0.2">
      <c r="D50" t="s">
        <v>125</v>
      </c>
      <c r="E50" s="151" t="s">
        <v>126</v>
      </c>
    </row>
    <row r="53" spans="1:7" x14ac:dyDescent="0.2">
      <c r="D53" s="51"/>
      <c r="E53" s="51"/>
      <c r="F53" s="88"/>
      <c r="G53" s="55"/>
    </row>
    <row r="54" spans="1:7" ht="22.5" customHeight="1" x14ac:dyDescent="0.2">
      <c r="D54" s="51" t="s">
        <v>138</v>
      </c>
      <c r="E54" s="51"/>
      <c r="F54" s="88"/>
      <c r="G54" s="55"/>
    </row>
    <row r="55" spans="1:7" x14ac:dyDescent="0.2">
      <c r="D55" s="51"/>
      <c r="E55" s="51"/>
      <c r="F55" s="88"/>
      <c r="G55" s="55"/>
    </row>
    <row r="56" spans="1:7" x14ac:dyDescent="0.2">
      <c r="D56" s="90"/>
      <c r="E56" s="90"/>
      <c r="F56" s="88"/>
      <c r="G56" s="55"/>
    </row>
    <row r="57" spans="1:7" ht="24.75" customHeight="1" x14ac:dyDescent="0.2">
      <c r="D57" t="s">
        <v>139</v>
      </c>
    </row>
    <row r="60" spans="1:7" ht="26.25" customHeight="1" x14ac:dyDescent="0.2">
      <c r="D60" t="s">
        <v>140</v>
      </c>
    </row>
    <row r="64" spans="1:7" ht="15" x14ac:dyDescent="0.25">
      <c r="A64" s="186" t="s">
        <v>141</v>
      </c>
    </row>
    <row r="65" spans="1:6" x14ac:dyDescent="0.2">
      <c r="A65" s="187" t="s">
        <v>142</v>
      </c>
      <c r="D65" s="185" t="s">
        <v>143</v>
      </c>
      <c r="E65" s="185" t="s">
        <v>144</v>
      </c>
      <c r="F65" s="185" t="s">
        <v>145</v>
      </c>
    </row>
    <row r="66" spans="1:6" x14ac:dyDescent="0.2">
      <c r="A66" t="s">
        <v>146</v>
      </c>
      <c r="D66" s="28">
        <f>109696.15+13997.28</f>
        <v>123693.43</v>
      </c>
      <c r="E66" s="28">
        <v>34862</v>
      </c>
      <c r="F66" s="28">
        <f>SUM(D66:E66)</f>
        <v>158555.43</v>
      </c>
    </row>
    <row r="67" spans="1:6" x14ac:dyDescent="0.2">
      <c r="A67" t="s">
        <v>157</v>
      </c>
      <c r="D67" s="29">
        <v>174371.81</v>
      </c>
      <c r="E67" s="29">
        <v>37287.49</v>
      </c>
      <c r="F67" s="29">
        <f t="shared" ref="F67:F101" si="8">SUM(D67:E67)</f>
        <v>211659.3</v>
      </c>
    </row>
    <row r="68" spans="1:6" x14ac:dyDescent="0.2">
      <c r="D68" s="188">
        <f>SUM(D66:D67)</f>
        <v>298065.24</v>
      </c>
      <c r="E68" s="28">
        <f>SUM(E66:E67)</f>
        <v>72149.489999999991</v>
      </c>
      <c r="F68" s="28">
        <f t="shared" si="8"/>
        <v>370214.73</v>
      </c>
    </row>
    <row r="69" spans="1:6" x14ac:dyDescent="0.2">
      <c r="D69" s="28"/>
      <c r="E69" s="28"/>
      <c r="F69" s="28">
        <f t="shared" si="8"/>
        <v>0</v>
      </c>
    </row>
    <row r="70" spans="1:6" x14ac:dyDescent="0.2">
      <c r="A70" t="s">
        <v>147</v>
      </c>
      <c r="D70" s="28"/>
      <c r="E70" s="28"/>
      <c r="F70" s="28">
        <f t="shared" si="8"/>
        <v>0</v>
      </c>
    </row>
    <row r="71" spans="1:6" x14ac:dyDescent="0.2">
      <c r="A71" t="s">
        <v>146</v>
      </c>
      <c r="D71" s="28">
        <f>10165.2+928.5</f>
        <v>11093.7</v>
      </c>
      <c r="E71" s="28">
        <v>2603.35</v>
      </c>
      <c r="F71" s="28">
        <f t="shared" si="8"/>
        <v>13697.050000000001</v>
      </c>
    </row>
    <row r="72" spans="1:6" x14ac:dyDescent="0.2">
      <c r="A72" t="s">
        <v>157</v>
      </c>
      <c r="D72" s="29">
        <v>27270.49</v>
      </c>
      <c r="E72" s="29">
        <v>6285.36</v>
      </c>
      <c r="F72" s="29">
        <f t="shared" si="8"/>
        <v>33555.85</v>
      </c>
    </row>
    <row r="73" spans="1:6" x14ac:dyDescent="0.2">
      <c r="D73" s="188">
        <f>SUM(D71:D72)</f>
        <v>38364.19</v>
      </c>
      <c r="E73" s="28">
        <f>SUM(E71:E72)</f>
        <v>8888.7099999999991</v>
      </c>
      <c r="F73" s="28">
        <f t="shared" si="8"/>
        <v>47252.9</v>
      </c>
    </row>
    <row r="74" spans="1:6" x14ac:dyDescent="0.2">
      <c r="D74" s="28"/>
      <c r="E74" s="28"/>
      <c r="F74" s="28">
        <f t="shared" si="8"/>
        <v>0</v>
      </c>
    </row>
    <row r="75" spans="1:6" x14ac:dyDescent="0.2">
      <c r="A75" t="s">
        <v>148</v>
      </c>
      <c r="D75" s="28"/>
      <c r="E75" s="28"/>
      <c r="F75" s="28">
        <f t="shared" si="8"/>
        <v>0</v>
      </c>
    </row>
    <row r="76" spans="1:6" x14ac:dyDescent="0.2">
      <c r="A76" t="s">
        <v>146</v>
      </c>
      <c r="D76" s="28">
        <f>70.77+4.5</f>
        <v>75.27</v>
      </c>
      <c r="E76" s="28">
        <v>14.26</v>
      </c>
      <c r="F76" s="28">
        <f t="shared" si="8"/>
        <v>89.53</v>
      </c>
    </row>
    <row r="77" spans="1:6" x14ac:dyDescent="0.2">
      <c r="A77" t="s">
        <v>157</v>
      </c>
      <c r="D77" s="29">
        <v>200.19</v>
      </c>
      <c r="E77" s="29">
        <v>70.459999999999994</v>
      </c>
      <c r="F77" s="29">
        <f t="shared" si="8"/>
        <v>270.64999999999998</v>
      </c>
    </row>
    <row r="78" spans="1:6" x14ac:dyDescent="0.2">
      <c r="D78" s="188">
        <f>SUM(D76:D77)</f>
        <v>275.45999999999998</v>
      </c>
      <c r="E78" s="28">
        <f>SUM(E76:E77)</f>
        <v>84.72</v>
      </c>
      <c r="F78" s="28">
        <f t="shared" si="8"/>
        <v>360.17999999999995</v>
      </c>
    </row>
    <row r="79" spans="1:6" x14ac:dyDescent="0.2">
      <c r="D79" s="28"/>
      <c r="E79" s="28"/>
      <c r="F79" s="28">
        <f t="shared" si="8"/>
        <v>0</v>
      </c>
    </row>
    <row r="80" spans="1:6" x14ac:dyDescent="0.2">
      <c r="A80" t="s">
        <v>149</v>
      </c>
      <c r="D80" s="28"/>
      <c r="E80" s="28"/>
      <c r="F80" s="28">
        <f t="shared" si="8"/>
        <v>0</v>
      </c>
    </row>
    <row r="81" spans="1:6" x14ac:dyDescent="0.2">
      <c r="A81" t="s">
        <v>146</v>
      </c>
      <c r="D81" s="28">
        <f>8114.78+1043.37</f>
        <v>9158.15</v>
      </c>
      <c r="E81" s="28">
        <v>2593.59</v>
      </c>
      <c r="F81" s="28">
        <f t="shared" si="8"/>
        <v>11751.74</v>
      </c>
    </row>
    <row r="82" spans="1:6" x14ac:dyDescent="0.2">
      <c r="A82" t="s">
        <v>157</v>
      </c>
      <c r="D82" s="29">
        <v>12786.71</v>
      </c>
      <c r="E82" s="29">
        <v>2981.69</v>
      </c>
      <c r="F82" s="29">
        <f t="shared" si="8"/>
        <v>15768.4</v>
      </c>
    </row>
    <row r="83" spans="1:6" x14ac:dyDescent="0.2">
      <c r="D83" s="188">
        <f>SUM(D81:D82)</f>
        <v>21944.86</v>
      </c>
      <c r="E83" s="28">
        <f>SUM(E81:E82)</f>
        <v>5575.2800000000007</v>
      </c>
      <c r="F83" s="28">
        <f t="shared" si="8"/>
        <v>27520.14</v>
      </c>
    </row>
    <row r="84" spans="1:6" x14ac:dyDescent="0.2">
      <c r="D84" s="28"/>
      <c r="E84" s="28"/>
      <c r="F84" s="28">
        <f t="shared" si="8"/>
        <v>0</v>
      </c>
    </row>
    <row r="85" spans="1:6" x14ac:dyDescent="0.2">
      <c r="A85" t="s">
        <v>150</v>
      </c>
      <c r="D85" s="28"/>
      <c r="E85" s="28"/>
      <c r="F85" s="28">
        <f t="shared" si="8"/>
        <v>0</v>
      </c>
    </row>
    <row r="86" spans="1:6" x14ac:dyDescent="0.2">
      <c r="A86" t="s">
        <v>146</v>
      </c>
      <c r="D86" s="28">
        <f>11592.47+1469.7</f>
        <v>13062.17</v>
      </c>
      <c r="E86" s="28">
        <v>3799.07</v>
      </c>
      <c r="F86" s="28">
        <f t="shared" si="8"/>
        <v>16861.240000000002</v>
      </c>
    </row>
    <row r="87" spans="1:6" x14ac:dyDescent="0.2">
      <c r="A87" t="s">
        <v>157</v>
      </c>
      <c r="D87" s="29">
        <v>18988.900000000001</v>
      </c>
      <c r="E87" s="29">
        <v>4472.2700000000004</v>
      </c>
      <c r="F87" s="29">
        <f t="shared" si="8"/>
        <v>23461.170000000002</v>
      </c>
    </row>
    <row r="88" spans="1:6" x14ac:dyDescent="0.2">
      <c r="D88" s="188">
        <f>SUM(D86:D87)</f>
        <v>32051.07</v>
      </c>
      <c r="E88" s="28">
        <f>SUM(E86:E87)</f>
        <v>8271.34</v>
      </c>
      <c r="F88" s="28">
        <f t="shared" si="8"/>
        <v>40322.410000000003</v>
      </c>
    </row>
    <row r="89" spans="1:6" x14ac:dyDescent="0.2">
      <c r="F89" s="28">
        <f t="shared" si="8"/>
        <v>0</v>
      </c>
    </row>
    <row r="90" spans="1:6" x14ac:dyDescent="0.2">
      <c r="A90" t="s">
        <v>151</v>
      </c>
      <c r="F90" s="28">
        <f t="shared" si="8"/>
        <v>0</v>
      </c>
    </row>
    <row r="91" spans="1:6" x14ac:dyDescent="0.2">
      <c r="A91" t="s">
        <v>146</v>
      </c>
      <c r="D91">
        <f>607.26+77.9</f>
        <v>685.16</v>
      </c>
      <c r="E91">
        <v>301.63</v>
      </c>
      <c r="F91" s="28">
        <f t="shared" si="8"/>
        <v>986.79</v>
      </c>
    </row>
    <row r="92" spans="1:6" x14ac:dyDescent="0.2">
      <c r="A92" t="s">
        <v>157</v>
      </c>
      <c r="D92" s="17">
        <v>993.89</v>
      </c>
      <c r="E92" s="17">
        <v>234.01</v>
      </c>
      <c r="F92" s="29">
        <f t="shared" si="8"/>
        <v>1227.9000000000001</v>
      </c>
    </row>
    <row r="93" spans="1:6" x14ac:dyDescent="0.2">
      <c r="D93" s="188">
        <f>SUM(D91:D92)</f>
        <v>1679.05</v>
      </c>
      <c r="E93" s="28">
        <f>SUM(E91:E92)</f>
        <v>535.64</v>
      </c>
      <c r="F93" s="28">
        <f t="shared" si="8"/>
        <v>2214.69</v>
      </c>
    </row>
    <row r="94" spans="1:6" x14ac:dyDescent="0.2">
      <c r="D94" s="28"/>
      <c r="E94" s="28"/>
      <c r="F94" s="28">
        <f t="shared" si="8"/>
        <v>0</v>
      </c>
    </row>
    <row r="95" spans="1:6" x14ac:dyDescent="0.2">
      <c r="A95" t="s">
        <v>152</v>
      </c>
      <c r="D95" s="28"/>
      <c r="E95" s="28"/>
      <c r="F95" s="28">
        <f t="shared" si="8"/>
        <v>0</v>
      </c>
    </row>
    <row r="96" spans="1:6" x14ac:dyDescent="0.2">
      <c r="A96" t="s">
        <v>146</v>
      </c>
      <c r="D96" s="28">
        <f>339.63+32.22</f>
        <v>371.85</v>
      </c>
      <c r="E96" s="28">
        <v>88.53</v>
      </c>
      <c r="F96" s="28">
        <f t="shared" si="8"/>
        <v>460.38</v>
      </c>
    </row>
    <row r="97" spans="1:6" x14ac:dyDescent="0.2">
      <c r="A97" t="s">
        <v>157</v>
      </c>
      <c r="D97" s="29">
        <v>1257.78</v>
      </c>
      <c r="E97" s="29">
        <v>254.15</v>
      </c>
      <c r="F97" s="29">
        <f t="shared" si="8"/>
        <v>1511.93</v>
      </c>
    </row>
    <row r="98" spans="1:6" x14ac:dyDescent="0.2">
      <c r="D98" s="188">
        <f>SUM(D96:D97)</f>
        <v>1629.63</v>
      </c>
      <c r="E98" s="28">
        <f>SUM(E96:E97)</f>
        <v>342.68</v>
      </c>
      <c r="F98" s="28">
        <f t="shared" si="8"/>
        <v>1972.3100000000002</v>
      </c>
    </row>
    <row r="99" spans="1:6" x14ac:dyDescent="0.2">
      <c r="D99" s="28"/>
      <c r="E99" s="28"/>
      <c r="F99" s="28">
        <f t="shared" si="8"/>
        <v>0</v>
      </c>
    </row>
    <row r="100" spans="1:6" x14ac:dyDescent="0.2">
      <c r="D100" s="28"/>
      <c r="E100" s="28"/>
      <c r="F100" s="28">
        <f t="shared" si="8"/>
        <v>0</v>
      </c>
    </row>
    <row r="101" spans="1:6" x14ac:dyDescent="0.2">
      <c r="A101" t="s">
        <v>153</v>
      </c>
      <c r="D101" s="28">
        <f>SUM(D66+D71+D76+D81+D86+D91+D96)</f>
        <v>158139.73000000001</v>
      </c>
      <c r="E101" s="28">
        <f>SUM(E66+E71+E76+E81+E86+E91+E96)</f>
        <v>44262.429999999993</v>
      </c>
      <c r="F101" s="28">
        <f t="shared" si="8"/>
        <v>202402.16</v>
      </c>
    </row>
    <row r="102" spans="1:6" x14ac:dyDescent="0.2">
      <c r="D102" s="28"/>
      <c r="E102" s="28"/>
      <c r="F102" s="28"/>
    </row>
  </sheetData>
  <mergeCells count="1">
    <mergeCell ref="H24:I24"/>
  </mergeCells>
  <phoneticPr fontId="0" type="noConversion"/>
  <pageMargins left="0.25" right="0.25" top="0.75" bottom="0.75" header="0.3" footer="0.3"/>
  <pageSetup scale="79" fitToHeight="0" orientation="landscape" r:id="rId1"/>
  <headerFooter alignWithMargins="0">
    <oddFooter xml:space="preserve">&amp;L&amp;F&amp;R&amp;8Prepared by Mike Escaname 
Health &amp; Human Services Dept. 
02/12/14&amp;9 
&amp;10 
</oddFooter>
  </headerFooter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2054" r:id="rId4">
          <objectPr defaultSize="0" autoPict="0" r:id="rId5">
            <anchor moveWithCells="1">
              <from>
                <xdr:col>6</xdr:col>
                <xdr:colOff>0</xdr:colOff>
                <xdr:row>53</xdr:row>
                <xdr:rowOff>0</xdr:rowOff>
              </from>
              <to>
                <xdr:col>6</xdr:col>
                <xdr:colOff>1057275</xdr:colOff>
                <xdr:row>54</xdr:row>
                <xdr:rowOff>28575</xdr:rowOff>
              </to>
            </anchor>
          </objectPr>
        </oleObject>
      </mc:Choice>
      <mc:Fallback>
        <oleObject progId="Acrobat Document" dvAspect="DVASPECT_ICON" shapeId="2054" r:id="rId4"/>
      </mc:Fallback>
    </mc:AlternateContent>
    <mc:AlternateContent xmlns:mc="http://schemas.openxmlformats.org/markup-compatibility/2006">
      <mc:Choice Requires="x14">
        <oleObject progId="Acrobat Document" dvAspect="DVASPECT_ICON" shapeId="2056" r:id="rId6">
          <objectPr defaultSize="0" autoPict="0" r:id="rId7">
            <anchor moveWithCells="1">
              <from>
                <xdr:col>6</xdr:col>
                <xdr:colOff>0</xdr:colOff>
                <xdr:row>59</xdr:row>
                <xdr:rowOff>0</xdr:rowOff>
              </from>
              <to>
                <xdr:col>6</xdr:col>
                <xdr:colOff>1066800</xdr:colOff>
                <xdr:row>60</xdr:row>
                <xdr:rowOff>19050</xdr:rowOff>
              </to>
            </anchor>
          </objectPr>
        </oleObject>
      </mc:Choice>
      <mc:Fallback>
        <oleObject progId="Acrobat Document" dvAspect="DVASPECT_ICON" shapeId="2056" r:id="rId6"/>
      </mc:Fallback>
    </mc:AlternateContent>
    <mc:AlternateContent xmlns:mc="http://schemas.openxmlformats.org/markup-compatibility/2006">
      <mc:Choice Requires="x14">
        <oleObject progId="Acrobat Document" dvAspect="DVASPECT_ICON" shapeId="2057" r:id="rId8">
          <objectPr defaultSize="0" autoPict="0" r:id="rId9">
            <anchor moveWithCells="1">
              <from>
                <xdr:col>5</xdr:col>
                <xdr:colOff>895350</xdr:colOff>
                <xdr:row>56</xdr:row>
                <xdr:rowOff>0</xdr:rowOff>
              </from>
              <to>
                <xdr:col>6</xdr:col>
                <xdr:colOff>1057275</xdr:colOff>
                <xdr:row>57</xdr:row>
                <xdr:rowOff>47625</xdr:rowOff>
              </to>
            </anchor>
          </objectPr>
        </oleObject>
      </mc:Choice>
      <mc:Fallback>
        <oleObject progId="Acrobat Document" dvAspect="DVASPECT_ICON" shapeId="2057" r:id="rId8"/>
      </mc:Fallback>
    </mc:AlternateContent>
    <mc:AlternateContent xmlns:mc="http://schemas.openxmlformats.org/markup-compatibility/2006">
      <mc:Choice Requires="x14">
        <oleObject progId="Acrobat Document" dvAspect="DVASPECT_ICON" shapeId="2058" r:id="rId10">
          <objectPr defaultSize="0" autoPict="0" r:id="rId11">
            <anchor moveWithCells="1">
              <from>
                <xdr:col>5</xdr:col>
                <xdr:colOff>895350</xdr:colOff>
                <xdr:row>49</xdr:row>
                <xdr:rowOff>0</xdr:rowOff>
              </from>
              <to>
                <xdr:col>6</xdr:col>
                <xdr:colOff>1057275</xdr:colOff>
                <xdr:row>50</xdr:row>
                <xdr:rowOff>28575</xdr:rowOff>
              </to>
            </anchor>
          </objectPr>
        </oleObject>
      </mc:Choice>
      <mc:Fallback>
        <oleObject progId="Acrobat Document" dvAspect="DVASPECT_ICON" shapeId="2058" r:id="rId10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workbookViewId="0">
      <selection activeCell="A3" sqref="A3:G21"/>
    </sheetView>
  </sheetViews>
  <sheetFormatPr defaultRowHeight="12.75" x14ac:dyDescent="0.2"/>
  <cols>
    <col min="2" max="3" width="10.140625" bestFit="1" customWidth="1"/>
    <col min="5" max="5" width="10.140625" customWidth="1"/>
  </cols>
  <sheetData>
    <row r="1" spans="1:5" x14ac:dyDescent="0.2">
      <c r="A1" s="1" t="s">
        <v>108</v>
      </c>
    </row>
    <row r="2" spans="1:5" x14ac:dyDescent="0.2">
      <c r="E2" t="s">
        <v>109</v>
      </c>
    </row>
    <row r="3" spans="1:5" x14ac:dyDescent="0.2">
      <c r="A3">
        <v>1</v>
      </c>
      <c r="B3" s="25">
        <v>41624</v>
      </c>
      <c r="C3" s="25">
        <v>41637</v>
      </c>
      <c r="E3" s="25">
        <v>41649</v>
      </c>
    </row>
    <row r="4" spans="1:5" x14ac:dyDescent="0.2">
      <c r="A4">
        <v>2</v>
      </c>
      <c r="B4" s="25">
        <v>41638</v>
      </c>
      <c r="C4" s="25">
        <v>41651</v>
      </c>
      <c r="E4" s="25">
        <v>41663</v>
      </c>
    </row>
    <row r="5" spans="1:5" x14ac:dyDescent="0.2">
      <c r="A5">
        <v>3</v>
      </c>
      <c r="B5" s="25">
        <v>41652</v>
      </c>
      <c r="C5" s="25">
        <v>41665</v>
      </c>
      <c r="E5" s="25">
        <v>41677</v>
      </c>
    </row>
    <row r="6" spans="1:5" x14ac:dyDescent="0.2">
      <c r="A6">
        <v>4</v>
      </c>
      <c r="B6" s="25">
        <v>41666</v>
      </c>
      <c r="C6" s="25">
        <v>41679</v>
      </c>
      <c r="E6" s="25">
        <v>41691</v>
      </c>
    </row>
    <row r="7" spans="1:5" x14ac:dyDescent="0.2">
      <c r="A7">
        <v>5</v>
      </c>
      <c r="B7" s="25">
        <v>41680</v>
      </c>
      <c r="C7" s="25">
        <v>41693</v>
      </c>
      <c r="E7" s="25">
        <v>41705</v>
      </c>
    </row>
    <row r="8" spans="1:5" x14ac:dyDescent="0.2">
      <c r="A8">
        <v>6</v>
      </c>
      <c r="B8" s="25">
        <v>41694</v>
      </c>
      <c r="C8" s="25">
        <v>41707</v>
      </c>
      <c r="E8" s="25">
        <v>41719</v>
      </c>
    </row>
    <row r="9" spans="1:5" x14ac:dyDescent="0.2">
      <c r="A9">
        <v>7</v>
      </c>
      <c r="B9" s="25">
        <v>41708</v>
      </c>
      <c r="C9" s="25">
        <v>41721</v>
      </c>
      <c r="E9" s="25">
        <v>41733</v>
      </c>
    </row>
    <row r="10" spans="1:5" x14ac:dyDescent="0.2">
      <c r="A10">
        <v>8</v>
      </c>
      <c r="B10" s="25">
        <v>41722</v>
      </c>
      <c r="C10" s="25">
        <v>41735</v>
      </c>
      <c r="E10" s="25">
        <v>41747</v>
      </c>
    </row>
    <row r="11" spans="1:5" x14ac:dyDescent="0.2">
      <c r="A11">
        <v>9</v>
      </c>
      <c r="B11" s="25">
        <v>41736</v>
      </c>
      <c r="C11" s="25">
        <v>41749</v>
      </c>
      <c r="E11" s="25">
        <v>41761</v>
      </c>
    </row>
    <row r="12" spans="1:5" x14ac:dyDescent="0.2">
      <c r="A12">
        <v>10</v>
      </c>
      <c r="B12" s="25">
        <v>41750</v>
      </c>
      <c r="C12" s="25">
        <v>41763</v>
      </c>
      <c r="E12" s="25">
        <v>41775</v>
      </c>
    </row>
    <row r="13" spans="1:5" x14ac:dyDescent="0.2">
      <c r="A13">
        <v>11</v>
      </c>
      <c r="B13" s="25">
        <v>41764</v>
      </c>
      <c r="C13" s="25">
        <v>41777</v>
      </c>
      <c r="E13" s="25">
        <v>41789</v>
      </c>
    </row>
    <row r="14" spans="1:5" x14ac:dyDescent="0.2">
      <c r="A14">
        <v>12</v>
      </c>
      <c r="B14" s="25">
        <v>41778</v>
      </c>
      <c r="C14" s="25">
        <v>41791</v>
      </c>
      <c r="E14" s="25">
        <v>41803</v>
      </c>
    </row>
    <row r="15" spans="1:5" x14ac:dyDescent="0.2">
      <c r="A15">
        <v>13</v>
      </c>
      <c r="B15" s="25">
        <v>41792</v>
      </c>
      <c r="C15" s="25">
        <v>41805</v>
      </c>
      <c r="E15" s="25">
        <v>41817</v>
      </c>
    </row>
    <row r="16" spans="1:5" x14ac:dyDescent="0.2">
      <c r="A16">
        <v>14</v>
      </c>
      <c r="B16" s="25">
        <v>41806</v>
      </c>
      <c r="C16" s="25">
        <v>41819</v>
      </c>
      <c r="E16" s="25">
        <v>41831</v>
      </c>
    </row>
    <row r="17" spans="1:6" x14ac:dyDescent="0.2">
      <c r="A17">
        <v>15</v>
      </c>
      <c r="B17" s="25">
        <v>41820</v>
      </c>
      <c r="C17" s="25">
        <v>41833</v>
      </c>
      <c r="E17" s="25">
        <v>41845</v>
      </c>
    </row>
    <row r="18" spans="1:6" x14ac:dyDescent="0.2">
      <c r="A18">
        <v>16</v>
      </c>
      <c r="B18" s="25">
        <v>41834</v>
      </c>
      <c r="C18" s="25">
        <v>41847</v>
      </c>
      <c r="E18" s="25">
        <v>41859</v>
      </c>
    </row>
    <row r="19" spans="1:6" x14ac:dyDescent="0.2">
      <c r="A19">
        <v>17</v>
      </c>
      <c r="B19" s="25">
        <v>41848</v>
      </c>
      <c r="C19" s="25">
        <v>41861</v>
      </c>
      <c r="E19" s="25">
        <v>41873</v>
      </c>
    </row>
    <row r="20" spans="1:6" x14ac:dyDescent="0.2">
      <c r="A20">
        <v>18</v>
      </c>
      <c r="B20" s="25">
        <v>41862</v>
      </c>
      <c r="C20" s="25">
        <v>41875</v>
      </c>
      <c r="E20" s="25">
        <v>41887</v>
      </c>
    </row>
    <row r="21" spans="1:6" x14ac:dyDescent="0.2">
      <c r="A21">
        <v>19</v>
      </c>
      <c r="B21" s="25">
        <v>41876</v>
      </c>
      <c r="C21" s="25">
        <v>41880</v>
      </c>
      <c r="E21" s="25">
        <v>41901</v>
      </c>
      <c r="F21" t="s">
        <v>70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Budget Analysis 070912</vt:lpstr>
      <vt:lpstr>TB CONTRL FY 12 SAL PROJ 070912</vt:lpstr>
      <vt:lpstr>Budget Analysis</vt:lpstr>
      <vt:lpstr>TB CONTROL FY 14 SAL PROJ </vt:lpstr>
      <vt:lpstr>Sheet1</vt:lpstr>
      <vt:lpstr>'Budget Analysis'!Print_Area</vt:lpstr>
      <vt:lpstr>'Budget Analysis 070912'!Print_Area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mike.escaname</dc:creator>
  <cp:lastModifiedBy>Obdett Z. Calzada</cp:lastModifiedBy>
  <cp:lastPrinted>2014-02-12T22:39:09Z</cp:lastPrinted>
  <dcterms:created xsi:type="dcterms:W3CDTF">2010-04-21T19:38:26Z</dcterms:created>
  <dcterms:modified xsi:type="dcterms:W3CDTF">2014-06-26T20:40:08Z</dcterms:modified>
</cp:coreProperties>
</file>