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95" windowHeight="11250"/>
  </bookViews>
  <sheets>
    <sheet name="PHEP FY 14" sheetId="2" r:id="rId1"/>
    <sheet name="PHEP FY 14 SAL PROJ " sheetId="1" r:id="rId2"/>
  </sheets>
  <definedNames>
    <definedName name="_xlnm.Print_Area" localSheetId="0">'PHEP FY 14'!$A$1:$P$39</definedName>
    <definedName name="_xlnm.Print_Area" localSheetId="1">'PHEP FY 14 SAL PROJ '!$A$1:$L$85</definedName>
  </definedNames>
  <calcPr calcId="145621"/>
</workbook>
</file>

<file path=xl/calcChain.xml><?xml version="1.0" encoding="utf-8"?>
<calcChain xmlns="http://schemas.openxmlformats.org/spreadsheetml/2006/main">
  <c r="M34" i="2" l="1"/>
  <c r="O34" i="2" s="1"/>
  <c r="F35" i="2" l="1"/>
  <c r="H35" i="2" s="1"/>
  <c r="E35" i="2"/>
  <c r="J35" i="2"/>
  <c r="J33" i="2"/>
  <c r="J17" i="2"/>
  <c r="M17" i="2"/>
  <c r="M35" i="2"/>
  <c r="M33" i="2"/>
  <c r="N11" i="2"/>
  <c r="N12" i="2"/>
  <c r="N13" i="2"/>
  <c r="N10" i="2"/>
  <c r="N9" i="2"/>
  <c r="N8" i="2"/>
  <c r="N5" i="2"/>
  <c r="G10" i="2"/>
  <c r="G23" i="2"/>
  <c r="G5" i="2"/>
  <c r="L12" i="2"/>
  <c r="G84" i="2"/>
  <c r="F84" i="2"/>
  <c r="H84" i="2" s="1"/>
  <c r="H83" i="2"/>
  <c r="H82" i="2"/>
  <c r="G81" i="2"/>
  <c r="L13" i="2" s="1"/>
  <c r="F81" i="2"/>
  <c r="H81" i="2" s="1"/>
  <c r="H80" i="2"/>
  <c r="H79" i="2"/>
  <c r="H78" i="2"/>
  <c r="H77" i="2"/>
  <c r="G76" i="2"/>
  <c r="F76" i="2"/>
  <c r="H76" i="2" s="1"/>
  <c r="H75" i="2"/>
  <c r="H74" i="2"/>
  <c r="H73" i="2"/>
  <c r="H72" i="2"/>
  <c r="G71" i="2"/>
  <c r="L11" i="2" s="1"/>
  <c r="F71" i="2"/>
  <c r="H71" i="2" s="1"/>
  <c r="H70" i="2"/>
  <c r="H69" i="2"/>
  <c r="H68" i="2"/>
  <c r="H67" i="2"/>
  <c r="G66" i="2"/>
  <c r="L10" i="2" s="1"/>
  <c r="F66" i="2"/>
  <c r="H66" i="2" s="1"/>
  <c r="H65" i="2"/>
  <c r="H64" i="2"/>
  <c r="H63" i="2"/>
  <c r="H62" i="2"/>
  <c r="G61" i="2"/>
  <c r="L9" i="2" s="1"/>
  <c r="F61" i="2"/>
  <c r="H61" i="2" s="1"/>
  <c r="H60" i="2"/>
  <c r="H59" i="2"/>
  <c r="H58" i="2"/>
  <c r="H57" i="2"/>
  <c r="G56" i="2"/>
  <c r="L8" i="2" s="1"/>
  <c r="F56" i="2"/>
  <c r="H56" i="2" s="1"/>
  <c r="H55" i="2"/>
  <c r="H54" i="2"/>
  <c r="H53" i="2"/>
  <c r="H52" i="2"/>
  <c r="G51" i="2"/>
  <c r="L5" i="2" s="1"/>
  <c r="F51" i="2"/>
  <c r="H51" i="2" s="1"/>
  <c r="H50" i="2"/>
  <c r="H49" i="2"/>
  <c r="F34" i="2"/>
  <c r="F33" i="2"/>
  <c r="F24" i="2"/>
  <c r="F25" i="2"/>
  <c r="F26" i="2"/>
  <c r="F27" i="2"/>
  <c r="F23" i="2"/>
  <c r="F17" i="2"/>
  <c r="F16" i="2"/>
  <c r="F9" i="2"/>
  <c r="F10" i="2"/>
  <c r="F11" i="2"/>
  <c r="F12" i="2"/>
  <c r="F13" i="2"/>
  <c r="F8" i="2"/>
  <c r="F5" i="2"/>
  <c r="G11" i="2"/>
  <c r="G33" i="2"/>
  <c r="G8" i="2"/>
  <c r="M36" i="2" l="1"/>
  <c r="K5" i="2"/>
  <c r="I11" i="1" s="1"/>
  <c r="K9" i="2"/>
  <c r="K11" i="2"/>
  <c r="I17" i="1" s="1"/>
  <c r="K13" i="2"/>
  <c r="K8" i="2"/>
  <c r="P8" i="2" s="1"/>
  <c r="K10" i="2"/>
  <c r="P10" i="2" s="1"/>
  <c r="K12" i="2"/>
  <c r="I16" i="1"/>
  <c r="E24" i="2"/>
  <c r="E25" i="2"/>
  <c r="E26" i="2"/>
  <c r="P11" i="2" l="1"/>
  <c r="P12" i="2"/>
  <c r="I18" i="1"/>
  <c r="I14" i="1"/>
  <c r="P5" i="2"/>
  <c r="I19" i="1"/>
  <c r="P13" i="2"/>
  <c r="I15" i="1"/>
  <c r="P9" i="2"/>
  <c r="N36" i="2"/>
  <c r="K36" i="2"/>
  <c r="J36" i="2"/>
  <c r="I36" i="2"/>
  <c r="G36" i="2"/>
  <c r="C36" i="2"/>
  <c r="O35" i="2"/>
  <c r="P35" i="2" s="1"/>
  <c r="H34" i="2"/>
  <c r="P34" i="2" s="1"/>
  <c r="E34" i="2"/>
  <c r="E33" i="2"/>
  <c r="K31" i="2"/>
  <c r="J31" i="2"/>
  <c r="I31" i="2"/>
  <c r="H31" i="2"/>
  <c r="G31" i="2"/>
  <c r="F31" i="2"/>
  <c r="E31" i="2"/>
  <c r="C31" i="2"/>
  <c r="L30" i="2"/>
  <c r="O30" i="2" s="1"/>
  <c r="P30" i="2" s="1"/>
  <c r="P31" i="2" s="1"/>
  <c r="N28" i="2"/>
  <c r="L28" i="2"/>
  <c r="K28" i="2"/>
  <c r="J28" i="2"/>
  <c r="I28" i="2"/>
  <c r="D28" i="2"/>
  <c r="C28" i="2"/>
  <c r="E27" i="2"/>
  <c r="H27" i="2" s="1"/>
  <c r="P27" i="2" s="1"/>
  <c r="H26" i="2"/>
  <c r="P26" i="2" s="1"/>
  <c r="H25" i="2"/>
  <c r="P25" i="2" s="1"/>
  <c r="O24" i="2"/>
  <c r="G28" i="2"/>
  <c r="O23" i="2"/>
  <c r="E23" i="2"/>
  <c r="H23" i="2" s="1"/>
  <c r="I21" i="2"/>
  <c r="O20" i="2"/>
  <c r="P20" i="2" s="1"/>
  <c r="P21" i="2" s="1"/>
  <c r="H20" i="2"/>
  <c r="H21" i="2" s="1"/>
  <c r="N18" i="2"/>
  <c r="L18" i="2"/>
  <c r="K18" i="2"/>
  <c r="I18" i="2"/>
  <c r="C18" i="2"/>
  <c r="O17" i="2"/>
  <c r="J18" i="2"/>
  <c r="E17" i="2"/>
  <c r="H17" i="2" s="1"/>
  <c r="P17" i="2" s="1"/>
  <c r="O16" i="2"/>
  <c r="G18" i="2"/>
  <c r="E16" i="2"/>
  <c r="I14" i="2"/>
  <c r="G14" i="2"/>
  <c r="D14" i="2"/>
  <c r="C14" i="2"/>
  <c r="J13" i="2"/>
  <c r="E13" i="2"/>
  <c r="H13" i="2" s="1"/>
  <c r="J12" i="2"/>
  <c r="E12" i="2"/>
  <c r="H12" i="2" s="1"/>
  <c r="J11" i="2"/>
  <c r="E11" i="2"/>
  <c r="H11" i="2" s="1"/>
  <c r="J10" i="2"/>
  <c r="H10" i="2"/>
  <c r="E10" i="2"/>
  <c r="J9" i="2"/>
  <c r="E9" i="2"/>
  <c r="H9" i="2" s="1"/>
  <c r="N14" i="2"/>
  <c r="L14" i="2"/>
  <c r="J8" i="2"/>
  <c r="E8" i="2"/>
  <c r="I6" i="2"/>
  <c r="G6" i="2"/>
  <c r="D6" i="2"/>
  <c r="C6" i="2"/>
  <c r="N6" i="2"/>
  <c r="L6" i="2"/>
  <c r="J5" i="2"/>
  <c r="J6" i="2" s="1"/>
  <c r="E5" i="2"/>
  <c r="E6" i="2" s="1"/>
  <c r="J14" i="2" l="1"/>
  <c r="C39" i="2"/>
  <c r="F45" i="2" s="1"/>
  <c r="F43" i="2"/>
  <c r="E36" i="2"/>
  <c r="O28" i="2"/>
  <c r="P23" i="2"/>
  <c r="F44" i="2"/>
  <c r="L36" i="2"/>
  <c r="J39" i="2"/>
  <c r="N39" i="2"/>
  <c r="I39" i="2"/>
  <c r="I43" i="2" s="1"/>
  <c r="O18" i="2"/>
  <c r="H24" i="2"/>
  <c r="P24" i="2" s="1"/>
  <c r="L31" i="2"/>
  <c r="O31" i="2" s="1"/>
  <c r="F36" i="2"/>
  <c r="E18" i="2"/>
  <c r="D39" i="2"/>
  <c r="E14" i="2"/>
  <c r="F14" i="2"/>
  <c r="F6" i="2"/>
  <c r="P28" i="2"/>
  <c r="L39" i="2"/>
  <c r="G39" i="2"/>
  <c r="H5" i="2"/>
  <c r="H6" i="2" s="1"/>
  <c r="H8" i="2"/>
  <c r="H14" i="2" s="1"/>
  <c r="E28" i="2"/>
  <c r="F28" i="2"/>
  <c r="O33" i="2"/>
  <c r="O36" i="2" l="1"/>
  <c r="H28" i="2"/>
  <c r="E39" i="2"/>
  <c r="H33" i="2"/>
  <c r="H36" i="2" s="1"/>
  <c r="M12" i="2"/>
  <c r="O12" i="2" s="1"/>
  <c r="F18" i="2"/>
  <c r="F39" i="2" s="1"/>
  <c r="H16" i="2"/>
  <c r="P16" i="2" s="1"/>
  <c r="M10" i="2"/>
  <c r="O10" i="2" s="1"/>
  <c r="K14" i="2"/>
  <c r="M8" i="2"/>
  <c r="M13" i="2"/>
  <c r="O13" i="2" s="1"/>
  <c r="M11" i="2"/>
  <c r="O11" i="2" s="1"/>
  <c r="M9" i="2"/>
  <c r="O9" i="2" s="1"/>
  <c r="K6" i="2"/>
  <c r="M5" i="2"/>
  <c r="P6" i="2"/>
  <c r="P33" i="2" l="1"/>
  <c r="K39" i="2"/>
  <c r="P36" i="2"/>
  <c r="M14" i="2"/>
  <c r="O8" i="2"/>
  <c r="O14" i="2" s="1"/>
  <c r="M6" i="2"/>
  <c r="M39" i="2" s="1"/>
  <c r="O5" i="2"/>
  <c r="O6" i="2" s="1"/>
  <c r="O39" i="2" s="1"/>
  <c r="P14" i="2"/>
  <c r="H18" i="2"/>
  <c r="H39" i="2" s="1"/>
  <c r="P18" i="2"/>
  <c r="P39" i="2" l="1"/>
  <c r="E84" i="1"/>
  <c r="D84" i="1"/>
  <c r="E81" i="1" l="1"/>
  <c r="J19" i="1" s="1"/>
  <c r="D81" i="1"/>
  <c r="E76" i="1"/>
  <c r="F76" i="1" s="1"/>
  <c r="D76" i="1"/>
  <c r="E71" i="1"/>
  <c r="F71" i="1" s="1"/>
  <c r="D71" i="1"/>
  <c r="E66" i="1"/>
  <c r="D66" i="1"/>
  <c r="E61" i="1"/>
  <c r="D61" i="1"/>
  <c r="E56" i="1"/>
  <c r="D56" i="1"/>
  <c r="E51" i="1"/>
  <c r="F51" i="1" s="1"/>
  <c r="D51" i="1"/>
  <c r="F79" i="1"/>
  <c r="F80" i="1"/>
  <c r="F82" i="1"/>
  <c r="F83" i="1"/>
  <c r="F84" i="1"/>
  <c r="F63" i="1"/>
  <c r="F64" i="1"/>
  <c r="F65" i="1"/>
  <c r="F67" i="1"/>
  <c r="F68" i="1"/>
  <c r="F69" i="1"/>
  <c r="F70" i="1"/>
  <c r="F72" i="1"/>
  <c r="F73" i="1"/>
  <c r="F74" i="1"/>
  <c r="F75" i="1"/>
  <c r="F77" i="1"/>
  <c r="F78" i="1"/>
  <c r="F50" i="1"/>
  <c r="F52" i="1"/>
  <c r="F53" i="1"/>
  <c r="F54" i="1"/>
  <c r="F55" i="1"/>
  <c r="F57" i="1"/>
  <c r="F58" i="1"/>
  <c r="F59" i="1"/>
  <c r="F60" i="1"/>
  <c r="F62" i="1"/>
  <c r="F49" i="1"/>
  <c r="F66" i="1" l="1"/>
  <c r="F61" i="1"/>
  <c r="F56" i="1"/>
  <c r="J14" i="1"/>
  <c r="J16" i="1"/>
  <c r="J18" i="1"/>
  <c r="J11" i="1"/>
  <c r="J15" i="1"/>
  <c r="J17" i="1"/>
  <c r="F81" i="1"/>
  <c r="I44" i="1" l="1"/>
  <c r="I43" i="1"/>
  <c r="I42" i="1"/>
  <c r="I41" i="1"/>
  <c r="I40" i="1"/>
  <c r="I39" i="1"/>
  <c r="I38" i="1"/>
  <c r="H20" i="1"/>
  <c r="F20" i="1"/>
  <c r="E20" i="1"/>
  <c r="L19" i="1"/>
  <c r="L18" i="1"/>
  <c r="L17" i="1"/>
  <c r="L16" i="1"/>
  <c r="L15" i="1"/>
  <c r="G15" i="1"/>
  <c r="J20" i="1"/>
  <c r="I20" i="1"/>
  <c r="G14" i="1"/>
  <c r="H12" i="1"/>
  <c r="H22" i="1" s="1"/>
  <c r="F12" i="1"/>
  <c r="F22" i="1" s="1"/>
  <c r="E12" i="1"/>
  <c r="E22" i="1" s="1"/>
  <c r="J12" i="1"/>
  <c r="J22" i="1" s="1"/>
  <c r="I12" i="1"/>
  <c r="G19" i="1"/>
  <c r="I22" i="1" l="1"/>
  <c r="K15" i="1"/>
  <c r="K19" i="1"/>
  <c r="G11" i="1"/>
  <c r="G12" i="1" s="1"/>
  <c r="L11" i="1"/>
  <c r="L12" i="1" s="1"/>
  <c r="K14" i="1"/>
  <c r="D16" i="1"/>
  <c r="G16" i="1" s="1"/>
  <c r="D12" i="1"/>
  <c r="L14" i="1"/>
  <c r="L20" i="1" s="1"/>
  <c r="D17" i="1"/>
  <c r="G17" i="1" s="1"/>
  <c r="K17" i="1" s="1"/>
  <c r="D18" i="1"/>
  <c r="G18" i="1" s="1"/>
  <c r="K18" i="1" s="1"/>
  <c r="G20" i="1" l="1"/>
  <c r="G22" i="1" s="1"/>
  <c r="K11" i="1"/>
  <c r="K12" i="1" s="1"/>
  <c r="L22" i="1"/>
  <c r="K16" i="1"/>
  <c r="K20" i="1" s="1"/>
  <c r="K22" i="1" s="1"/>
  <c r="D20" i="1"/>
  <c r="D22" i="1" s="1"/>
  <c r="N14" i="1"/>
  <c r="N15" i="1" l="1"/>
  <c r="N16" i="1" s="1"/>
</calcChain>
</file>

<file path=xl/comments1.xml><?xml version="1.0" encoding="utf-8"?>
<comments xmlns="http://schemas.openxmlformats.org/spreadsheetml/2006/main">
  <authors>
    <author>Miguel Escaname</author>
    <author>benito.luna</author>
  </authors>
  <commentList>
    <comment ref="D11" authorId="0">
      <text>
        <r>
          <rPr>
            <sz val="8"/>
            <color indexed="81"/>
            <rFont val="Tahoma"/>
            <family val="2"/>
          </rPr>
          <t xml:space="preserve">Slot #0018 is vacant and will not be filled through 08/31/14. </t>
        </r>
      </text>
    </comment>
    <comment ref="N18" authorId="1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N19" authorId="1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sharedStrings.xml><?xml version="1.0" encoding="utf-8"?>
<sst xmlns="http://schemas.openxmlformats.org/spreadsheetml/2006/main" count="169" uniqueCount="116">
  <si>
    <t>GRANT ENDING 08/31/2014</t>
  </si>
  <si>
    <t>*COST PER</t>
  </si>
  <si>
    <t>REMAINING</t>
  </si>
  <si>
    <t xml:space="preserve">COST FOR </t>
  </si>
  <si>
    <t xml:space="preserve">BUDGET </t>
  </si>
  <si>
    <t>ANTICIPATED</t>
  </si>
  <si>
    <t>PAY PERIOD</t>
  </si>
  <si>
    <t>PAY PERIODS</t>
  </si>
  <si>
    <t>REMAINING PDS</t>
  </si>
  <si>
    <t>BALANCE</t>
  </si>
  <si>
    <r>
      <t>SURPLUS/</t>
    </r>
    <r>
      <rPr>
        <b/>
        <sz val="10"/>
        <color rgb="FFFF0000"/>
        <rFont val="Arial"/>
        <family val="2"/>
      </rPr>
      <t>DEFICIT</t>
    </r>
  </si>
  <si>
    <t>Grant Budget</t>
  </si>
  <si>
    <t>Match Budget</t>
  </si>
  <si>
    <t>Salaries-F/T</t>
  </si>
  <si>
    <t>Sub-Total Pay</t>
  </si>
  <si>
    <t>Health Insurance</t>
  </si>
  <si>
    <t>Life Insurance *</t>
  </si>
  <si>
    <t>Fica</t>
  </si>
  <si>
    <t>Retirement</t>
  </si>
  <si>
    <t>Unemployment Comp.</t>
  </si>
  <si>
    <t>Worker's Comp</t>
  </si>
  <si>
    <t xml:space="preserve">Sub-Fringes </t>
  </si>
  <si>
    <t xml:space="preserve">* Life Insurance is paid once per month. </t>
  </si>
  <si>
    <t xml:space="preserve">Work Period Covered </t>
  </si>
  <si>
    <t>Pay Date</t>
  </si>
  <si>
    <t>pp 14</t>
  </si>
  <si>
    <t>pp 15</t>
  </si>
  <si>
    <t>pp 16</t>
  </si>
  <si>
    <t>pp 17</t>
  </si>
  <si>
    <t>pp 18</t>
  </si>
  <si>
    <t>pp 19</t>
  </si>
  <si>
    <t>Total Budget</t>
  </si>
  <si>
    <t>3-1293-441-00-340-008-4-113</t>
  </si>
  <si>
    <t>3-1293-441-00-340-008-4-211</t>
  </si>
  <si>
    <t>3-1293-441-00-340-008-4-212</t>
  </si>
  <si>
    <t>3-1293-441-00-340-008-4-220</t>
  </si>
  <si>
    <t>3-1293-441-00-340-008-4-230</t>
  </si>
  <si>
    <t>3-1293-441-00-340-008-4-250</t>
  </si>
  <si>
    <t>3-1293-441-00-340-008-4-260</t>
  </si>
  <si>
    <t xml:space="preserve">This analysis is needed as the amount budgeted in the general ledger consists of 90% grant monies and 10% local match funds.  </t>
  </si>
  <si>
    <t>CPS / HAZARDS (PHEP) FY 14</t>
  </si>
  <si>
    <t>Projection of Salaries and Fringes for the remainder of the CPS / HAZARDS (PHEP) FY 14 period ending 08/31/14</t>
  </si>
  <si>
    <t xml:space="preserve">5 days only </t>
  </si>
  <si>
    <t>Expenditures by Category</t>
  </si>
  <si>
    <t xml:space="preserve">Grant </t>
  </si>
  <si>
    <t xml:space="preserve">Local Match </t>
  </si>
  <si>
    <t>09/01/13 through 12/31/13</t>
  </si>
  <si>
    <t xml:space="preserve">Total </t>
  </si>
  <si>
    <t xml:space="preserve">Object 211 - Health Insurance </t>
  </si>
  <si>
    <t xml:space="preserve">Object 113 - F/T Employees </t>
  </si>
  <si>
    <t xml:space="preserve">Object 212 - Life Insurance </t>
  </si>
  <si>
    <t xml:space="preserve">Object 220 - FICA </t>
  </si>
  <si>
    <t xml:space="preserve">Object 230 - Retirement </t>
  </si>
  <si>
    <t xml:space="preserve">Object 250 - Unemployment </t>
  </si>
  <si>
    <t>Object 260 - Workers Comp</t>
  </si>
  <si>
    <t xml:space="preserve">Budgets in ALIO are made up of the following amounts and categories: </t>
  </si>
  <si>
    <t xml:space="preserve">Note:  Slot #0018 is vacant and to be deleted;  Will remain vacant through 08/31/14.  </t>
  </si>
  <si>
    <t>Expended 09/01/13 to 12/31/14</t>
  </si>
  <si>
    <t>CPS/HAZARDS - Reg F/T Employees</t>
  </si>
  <si>
    <t xml:space="preserve">CPS/HAZARDS - Health Insurance </t>
  </si>
  <si>
    <t xml:space="preserve">CPS/HAZARDS - Life Insurance </t>
  </si>
  <si>
    <t xml:space="preserve">CPS/HAZARDS - FICA </t>
  </si>
  <si>
    <t xml:space="preserve">CPS/HAZARDS - Retirement </t>
  </si>
  <si>
    <t xml:space="preserve">CPS/HAZARDS - Unemployment Comp </t>
  </si>
  <si>
    <t xml:space="preserve">CPS/HAZARDS - Workers Comp </t>
  </si>
  <si>
    <t>Pay Periods Remaining at 06/27/14:</t>
  </si>
  <si>
    <t>01/01/14 through 06/25/14</t>
  </si>
  <si>
    <t>09/01/2013 through 08/31/2014</t>
  </si>
  <si>
    <t>Object</t>
  </si>
  <si>
    <t xml:space="preserve">Account Description </t>
  </si>
  <si>
    <t xml:space="preserve">Original Budget GRANT </t>
  </si>
  <si>
    <t>Original Budget LOCAL MATCH</t>
  </si>
  <si>
    <t xml:space="preserve">Sub-Total Grant Budget </t>
  </si>
  <si>
    <t xml:space="preserve">Total Grant Budget </t>
  </si>
  <si>
    <t>Line Item Transfers</t>
  </si>
  <si>
    <t xml:space="preserve">Total Grant Budget With Transfers </t>
  </si>
  <si>
    <t xml:space="preserve">Adjusted Budget </t>
  </si>
  <si>
    <t xml:space="preserve">GRANT Salaries Y-T-D Expenditures </t>
  </si>
  <si>
    <t xml:space="preserve">Local Match Salaries       Y-T-D Expenditures </t>
  </si>
  <si>
    <t>Y-T-D Expenditures Grant &amp; Match</t>
  </si>
  <si>
    <t xml:space="preserve">Total Expenditures </t>
  </si>
  <si>
    <t xml:space="preserve">GRANT SALARIES Available Balance </t>
  </si>
  <si>
    <t>Regular F/T Employee</t>
  </si>
  <si>
    <t>Sub-Total - Personnel</t>
  </si>
  <si>
    <t xml:space="preserve">Health Insurance </t>
  </si>
  <si>
    <t xml:space="preserve">Life Insurance </t>
  </si>
  <si>
    <t xml:space="preserve">FICA </t>
  </si>
  <si>
    <t xml:space="preserve">Retirement </t>
  </si>
  <si>
    <t xml:space="preserve">Unemployment </t>
  </si>
  <si>
    <t xml:space="preserve">Workers Comp. </t>
  </si>
  <si>
    <t xml:space="preserve">Sub-Total- Fringes </t>
  </si>
  <si>
    <t xml:space="preserve">Travel In-County </t>
  </si>
  <si>
    <t>Travel Out-of-County</t>
  </si>
  <si>
    <t xml:space="preserve">Sub-Total - Travel </t>
  </si>
  <si>
    <t xml:space="preserve">Sub-Total - Equipment </t>
  </si>
  <si>
    <t>Office &amp; Comp Supplies</t>
  </si>
  <si>
    <t>Medical Supplies</t>
  </si>
  <si>
    <t>Janitorial Supplies</t>
  </si>
  <si>
    <t>Minor Computer Equip</t>
  </si>
  <si>
    <t xml:space="preserve">Other Equipment </t>
  </si>
  <si>
    <t xml:space="preserve">Sub-Total - Supplies </t>
  </si>
  <si>
    <t>Sub-Total - Contractual</t>
  </si>
  <si>
    <t xml:space="preserve">Sub-Total - Other </t>
  </si>
  <si>
    <t>Total Grant Award</t>
  </si>
  <si>
    <t xml:space="preserve">10% Threshold = </t>
  </si>
  <si>
    <t xml:space="preserve">25% Threshold = </t>
  </si>
  <si>
    <t>PUBLIC HEALTH EMERGENCY PREPAREDNESS (PHEP)  FY 14</t>
  </si>
  <si>
    <t xml:space="preserve">Internet </t>
  </si>
  <si>
    <t>Registration</t>
  </si>
  <si>
    <t>Capital Lease</t>
  </si>
  <si>
    <t>Y-T-D Expenditures  07/02/14</t>
  </si>
  <si>
    <t>01/01/14 through 07/02/14</t>
  </si>
  <si>
    <t>Projected Expenditures  07/02/14-08/31/14</t>
  </si>
  <si>
    <t xml:space="preserve">Budget Transfers through 07/02/14  = </t>
  </si>
  <si>
    <t>2013 Expenditure Detail Report ------------&gt;</t>
  </si>
  <si>
    <t>2014 Expenditure Detail Report ------------&gt;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</si>
</sst>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indexed="20"/>
      <name val="Arial"/>
      <family val="2"/>
    </font>
    <font>
      <sz val="10"/>
      <color rgb="FF0000CC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00B050"/>
      <name val="Arial"/>
      <family val="2"/>
    </font>
    <font>
      <b/>
      <sz val="11"/>
      <name val="Arial"/>
      <family val="2"/>
    </font>
    <font>
      <b/>
      <sz val="10"/>
      <color rgb="FF0000C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65">
    <xf numFmtId="0" fontId="0" fillId="0" borderId="0" xfId="0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14" fontId="7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0" fillId="0" borderId="0" xfId="0" applyBorder="1"/>
    <xf numFmtId="9" fontId="7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0" fillId="0" borderId="8" xfId="0" applyBorder="1"/>
    <xf numFmtId="44" fontId="0" fillId="2" borderId="8" xfId="0" applyNumberFormat="1" applyFill="1" applyBorder="1"/>
    <xf numFmtId="44" fontId="0" fillId="0" borderId="2" xfId="0" applyNumberFormat="1" applyBorder="1"/>
    <xf numFmtId="0" fontId="0" fillId="0" borderId="2" xfId="0" applyFill="1" applyBorder="1"/>
    <xf numFmtId="44" fontId="0" fillId="2" borderId="1" xfId="0" applyNumberFormat="1" applyFill="1" applyBorder="1"/>
    <xf numFmtId="44" fontId="0" fillId="0" borderId="1" xfId="0" applyNumberFormat="1" applyBorder="1"/>
    <xf numFmtId="44" fontId="0" fillId="0" borderId="1" xfId="0" applyNumberFormat="1" applyFill="1" applyBorder="1"/>
    <xf numFmtId="0" fontId="0" fillId="3" borderId="8" xfId="0" applyFill="1" applyBorder="1"/>
    <xf numFmtId="44" fontId="4" fillId="3" borderId="1" xfId="0" applyNumberFormat="1" applyFont="1" applyFill="1" applyBorder="1"/>
    <xf numFmtId="44" fontId="1" fillId="0" borderId="0" xfId="0" applyNumberFormat="1" applyFont="1" applyFill="1" applyBorder="1"/>
    <xf numFmtId="0" fontId="0" fillId="0" borderId="8" xfId="0" applyFill="1" applyBorder="1"/>
    <xf numFmtId="44" fontId="0" fillId="0" borderId="8" xfId="0" applyNumberFormat="1" applyFill="1" applyBorder="1"/>
    <xf numFmtId="44" fontId="0" fillId="0" borderId="2" xfId="0" applyNumberFormat="1" applyFill="1" applyBorder="1"/>
    <xf numFmtId="44" fontId="0" fillId="0" borderId="0" xfId="0" applyNumberFormat="1"/>
    <xf numFmtId="44" fontId="0" fillId="0" borderId="8" xfId="0" applyNumberFormat="1" applyBorder="1"/>
    <xf numFmtId="44" fontId="0" fillId="2" borderId="8" xfId="0" quotePrefix="1" applyNumberFormat="1" applyFill="1" applyBorder="1"/>
    <xf numFmtId="44" fontId="0" fillId="0" borderId="2" xfId="0" quotePrefix="1" applyNumberFormat="1" applyBorder="1"/>
    <xf numFmtId="44" fontId="0" fillId="0" borderId="8" xfId="0" quotePrefix="1" applyNumberFormat="1" applyBorder="1"/>
    <xf numFmtId="0" fontId="0" fillId="0" borderId="9" xfId="0" applyBorder="1"/>
    <xf numFmtId="44" fontId="0" fillId="2" borderId="7" xfId="0" applyNumberFormat="1" applyFill="1" applyBorder="1"/>
    <xf numFmtId="44" fontId="0" fillId="0" borderId="10" xfId="0" applyNumberFormat="1" applyBorder="1"/>
    <xf numFmtId="44" fontId="0" fillId="0" borderId="11" xfId="0" applyNumberFormat="1" applyBorder="1"/>
    <xf numFmtId="0" fontId="0" fillId="3" borderId="3" xfId="0" applyFill="1" applyBorder="1"/>
    <xf numFmtId="44" fontId="4" fillId="3" borderId="3" xfId="0" applyNumberFormat="1" applyFont="1" applyFill="1" applyBorder="1"/>
    <xf numFmtId="0" fontId="0" fillId="0" borderId="1" xfId="0" applyBorder="1"/>
    <xf numFmtId="0" fontId="5" fillId="0" borderId="2" xfId="0" applyFont="1" applyBorder="1"/>
    <xf numFmtId="0" fontId="0" fillId="0" borderId="7" xfId="0" applyBorder="1"/>
    <xf numFmtId="0" fontId="0" fillId="0" borderId="10" xfId="0" applyBorder="1"/>
    <xf numFmtId="44" fontId="4" fillId="0" borderId="7" xfId="0" applyNumberFormat="1" applyFont="1" applyBorder="1"/>
    <xf numFmtId="44" fontId="4" fillId="0" borderId="0" xfId="0" applyNumberFormat="1" applyFont="1" applyFill="1" applyBorder="1"/>
    <xf numFmtId="43" fontId="9" fillId="0" borderId="0" xfId="0" applyNumberFormat="1" applyFont="1"/>
    <xf numFmtId="44" fontId="4" fillId="4" borderId="12" xfId="0" applyNumberFormat="1" applyFont="1" applyFill="1" applyBorder="1"/>
    <xf numFmtId="0" fontId="4" fillId="0" borderId="5" xfId="0" applyFont="1" applyBorder="1" applyAlignment="1">
      <alignment horizontal="center"/>
    </xf>
    <xf numFmtId="0" fontId="0" fillId="0" borderId="0" xfId="0" applyNumberFormat="1" applyFill="1"/>
    <xf numFmtId="14" fontId="0" fillId="0" borderId="0" xfId="0" applyNumberFormat="1"/>
    <xf numFmtId="0" fontId="10" fillId="0" borderId="0" xfId="0" applyFont="1"/>
    <xf numFmtId="0" fontId="0" fillId="0" borderId="0" xfId="0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4" fillId="0" borderId="5" xfId="0" applyFont="1" applyFill="1" applyBorder="1" applyAlignment="1">
      <alignment horizontal="center"/>
    </xf>
    <xf numFmtId="0" fontId="12" fillId="0" borderId="8" xfId="0" applyFont="1" applyBorder="1"/>
    <xf numFmtId="43" fontId="0" fillId="0" borderId="0" xfId="1" applyFont="1" applyFill="1" applyBorder="1"/>
    <xf numFmtId="43" fontId="0" fillId="0" borderId="0" xfId="1" applyFont="1"/>
    <xf numFmtId="14" fontId="15" fillId="0" borderId="0" xfId="0" applyNumberFormat="1" applyFont="1" applyAlignment="1">
      <alignment horizontal="center"/>
    </xf>
    <xf numFmtId="0" fontId="0" fillId="0" borderId="0" xfId="0" applyFont="1" applyBorder="1"/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Border="1"/>
    <xf numFmtId="0" fontId="16" fillId="0" borderId="0" xfId="0" applyFont="1" applyFill="1" applyBorder="1"/>
    <xf numFmtId="43" fontId="0" fillId="0" borderId="5" xfId="1" applyFont="1" applyBorder="1"/>
    <xf numFmtId="43" fontId="11" fillId="0" borderId="0" xfId="1" applyFont="1"/>
    <xf numFmtId="44" fontId="11" fillId="2" borderId="1" xfId="0" applyNumberFormat="1" applyFont="1" applyFill="1" applyBorder="1"/>
    <xf numFmtId="44" fontId="0" fillId="0" borderId="2" xfId="0" applyNumberFormat="1" applyFont="1" applyFill="1" applyBorder="1"/>
    <xf numFmtId="44" fontId="4" fillId="3" borderId="2" xfId="0" applyNumberFormat="1" applyFont="1" applyFill="1" applyBorder="1"/>
    <xf numFmtId="44" fontId="4" fillId="0" borderId="2" xfId="0" applyNumberFormat="1" applyFont="1" applyFill="1" applyBorder="1"/>
    <xf numFmtId="44" fontId="0" fillId="2" borderId="1" xfId="0" applyNumberFormat="1" applyFont="1" applyFill="1" applyBorder="1"/>
    <xf numFmtId="14" fontId="4" fillId="0" borderId="10" xfId="0" applyNumberFormat="1" applyFont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9" fontId="4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/>
    <xf numFmtId="0" fontId="11" fillId="0" borderId="0" xfId="0" applyFont="1"/>
    <xf numFmtId="0" fontId="0" fillId="0" borderId="0" xfId="0" applyFill="1"/>
    <xf numFmtId="14" fontId="15" fillId="0" borderId="0" xfId="0" applyNumberFormat="1" applyFont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0" fillId="0" borderId="4" xfId="0" applyFill="1" applyBorder="1" applyAlignment="1">
      <alignment wrapText="1"/>
    </xf>
    <xf numFmtId="0" fontId="0" fillId="0" borderId="4" xfId="0" applyBorder="1"/>
    <xf numFmtId="43" fontId="0" fillId="0" borderId="8" xfId="1" applyFont="1" applyBorder="1"/>
    <xf numFmtId="43" fontId="0" fillId="0" borderId="11" xfId="1" applyFont="1" applyBorder="1"/>
    <xf numFmtId="43" fontId="0" fillId="5" borderId="8" xfId="1" applyFont="1" applyFill="1" applyBorder="1"/>
    <xf numFmtId="43" fontId="0" fillId="5" borderId="8" xfId="0" applyNumberFormat="1" applyFill="1" applyBorder="1"/>
    <xf numFmtId="43" fontId="1" fillId="0" borderId="11" xfId="1" applyFont="1" applyBorder="1"/>
    <xf numFmtId="43" fontId="0" fillId="5" borderId="11" xfId="1" applyFont="1" applyFill="1" applyBorder="1"/>
    <xf numFmtId="43" fontId="0" fillId="0" borderId="13" xfId="1" applyFont="1" applyBorder="1"/>
    <xf numFmtId="43" fontId="11" fillId="2" borderId="8" xfId="1" applyFont="1" applyFill="1" applyBorder="1"/>
    <xf numFmtId="43" fontId="0" fillId="6" borderId="4" xfId="1" applyFont="1" applyFill="1" applyBorder="1"/>
    <xf numFmtId="43" fontId="0" fillId="5" borderId="4" xfId="1" applyFont="1" applyFill="1" applyBorder="1"/>
    <xf numFmtId="43" fontId="0" fillId="6" borderId="3" xfId="1" applyFont="1" applyFill="1" applyBorder="1"/>
    <xf numFmtId="43" fontId="0" fillId="5" borderId="3" xfId="1" applyFont="1" applyFill="1" applyBorder="1"/>
    <xf numFmtId="43" fontId="8" fillId="6" borderId="3" xfId="1" applyFont="1" applyFill="1" applyBorder="1"/>
    <xf numFmtId="43" fontId="17" fillId="6" borderId="4" xfId="1" applyFont="1" applyFill="1" applyBorder="1"/>
    <xf numFmtId="43" fontId="0" fillId="0" borderId="3" xfId="1" applyFont="1" applyBorder="1"/>
    <xf numFmtId="0" fontId="0" fillId="5" borderId="4" xfId="0" applyFill="1" applyBorder="1"/>
    <xf numFmtId="43" fontId="0" fillId="0" borderId="4" xfId="1" applyFont="1" applyBorder="1"/>
    <xf numFmtId="43" fontId="0" fillId="5" borderId="9" xfId="1" applyFont="1" applyFill="1" applyBorder="1"/>
    <xf numFmtId="43" fontId="0" fillId="0" borderId="0" xfId="1" applyFont="1" applyBorder="1"/>
    <xf numFmtId="43" fontId="0" fillId="0" borderId="2" xfId="1" applyFont="1" applyBorder="1"/>
    <xf numFmtId="43" fontId="0" fillId="0" borderId="9" xfId="1" applyFont="1" applyBorder="1"/>
    <xf numFmtId="43" fontId="11" fillId="2" borderId="4" xfId="1" applyFont="1" applyFill="1" applyBorder="1"/>
    <xf numFmtId="43" fontId="0" fillId="0" borderId="7" xfId="1" applyFont="1" applyBorder="1"/>
    <xf numFmtId="43" fontId="0" fillId="5" borderId="10" xfId="1" applyFont="1" applyFill="1" applyBorder="1"/>
    <xf numFmtId="43" fontId="1" fillId="0" borderId="10" xfId="1" applyFont="1" applyBorder="1"/>
    <xf numFmtId="43" fontId="0" fillId="0" borderId="10" xfId="1" applyFont="1" applyBorder="1"/>
    <xf numFmtId="43" fontId="0" fillId="0" borderId="6" xfId="1" applyFont="1" applyBorder="1"/>
    <xf numFmtId="43" fontId="11" fillId="2" borderId="10" xfId="1" applyFont="1" applyFill="1" applyBorder="1"/>
    <xf numFmtId="43" fontId="1" fillId="5" borderId="9" xfId="1" applyFont="1" applyFill="1" applyBorder="1"/>
    <xf numFmtId="43" fontId="0" fillId="0" borderId="4" xfId="1" applyFont="1" applyFill="1" applyBorder="1"/>
    <xf numFmtId="43" fontId="0" fillId="5" borderId="10" xfId="0" applyNumberFormat="1" applyFill="1" applyBorder="1"/>
    <xf numFmtId="43" fontId="1" fillId="5" borderId="6" xfId="1" applyFont="1" applyFill="1" applyBorder="1"/>
    <xf numFmtId="43" fontId="0" fillId="0" borderId="10" xfId="1" applyFont="1" applyFill="1" applyBorder="1"/>
    <xf numFmtId="43" fontId="1" fillId="2" borderId="10" xfId="1" applyFont="1" applyFill="1" applyBorder="1"/>
    <xf numFmtId="43" fontId="0" fillId="6" borderId="2" xfId="1" applyFont="1" applyFill="1" applyBorder="1"/>
    <xf numFmtId="0" fontId="0" fillId="5" borderId="0" xfId="0" applyFill="1"/>
    <xf numFmtId="0" fontId="1" fillId="0" borderId="0" xfId="0" applyFont="1"/>
    <xf numFmtId="0" fontId="0" fillId="5" borderId="10" xfId="0" applyFill="1" applyBorder="1"/>
    <xf numFmtId="43" fontId="0" fillId="6" borderId="0" xfId="1" applyFont="1" applyFill="1"/>
    <xf numFmtId="43" fontId="0" fillId="6" borderId="0" xfId="1" applyFont="1" applyFill="1" applyBorder="1"/>
    <xf numFmtId="43" fontId="1" fillId="2" borderId="4" xfId="1" applyFont="1" applyFill="1" applyBorder="1"/>
    <xf numFmtId="43" fontId="1" fillId="5" borderId="10" xfId="1" applyFont="1" applyFill="1" applyBorder="1"/>
    <xf numFmtId="43" fontId="0" fillId="0" borderId="0" xfId="1" applyFont="1" applyFill="1"/>
    <xf numFmtId="43" fontId="0" fillId="6" borderId="4" xfId="0" applyNumberFormat="1" applyFill="1" applyBorder="1"/>
    <xf numFmtId="43" fontId="0" fillId="5" borderId="4" xfId="0" applyNumberFormat="1" applyFill="1" applyBorder="1"/>
    <xf numFmtId="43" fontId="0" fillId="6" borderId="3" xfId="0" applyNumberFormat="1" applyFill="1" applyBorder="1"/>
    <xf numFmtId="43" fontId="0" fillId="0" borderId="4" xfId="0" applyNumberFormat="1" applyFill="1" applyBorder="1"/>
    <xf numFmtId="43" fontId="0" fillId="0" borderId="0" xfId="0" applyNumberFormat="1" applyFill="1" applyBorder="1"/>
    <xf numFmtId="43" fontId="0" fillId="0" borderId="9" xfId="0" applyNumberFormat="1" applyFill="1" applyBorder="1"/>
    <xf numFmtId="0" fontId="4" fillId="0" borderId="8" xfId="0" applyFont="1" applyBorder="1"/>
    <xf numFmtId="43" fontId="4" fillId="6" borderId="15" xfId="0" applyNumberFormat="1" applyFont="1" applyFill="1" applyBorder="1"/>
    <xf numFmtId="43" fontId="4" fillId="5" borderId="15" xfId="0" applyNumberFormat="1" applyFont="1" applyFill="1" applyBorder="1"/>
    <xf numFmtId="43" fontId="4" fillId="6" borderId="16" xfId="0" applyNumberFormat="1" applyFont="1" applyFill="1" applyBorder="1"/>
    <xf numFmtId="43" fontId="17" fillId="6" borderId="15" xfId="0" applyNumberFormat="1" applyFont="1" applyFill="1" applyBorder="1"/>
    <xf numFmtId="0" fontId="17" fillId="0" borderId="0" xfId="0" applyFont="1"/>
    <xf numFmtId="43" fontId="5" fillId="0" borderId="0" xfId="1" applyFont="1"/>
    <xf numFmtId="43" fontId="4" fillId="0" borderId="0" xfId="0" applyNumberFormat="1" applyFont="1"/>
    <xf numFmtId="43" fontId="0" fillId="0" borderId="0" xfId="0" applyNumberFormat="1"/>
    <xf numFmtId="0" fontId="4" fillId="0" borderId="8" xfId="0" applyFont="1" applyFill="1" applyBorder="1" applyAlignment="1">
      <alignment horizontal="center" wrapText="1"/>
    </xf>
    <xf numFmtId="43" fontId="0" fillId="0" borderId="8" xfId="1" applyFont="1" applyFill="1" applyBorder="1"/>
    <xf numFmtId="43" fontId="0" fillId="0" borderId="3" xfId="1" applyFont="1" applyFill="1" applyBorder="1"/>
    <xf numFmtId="0" fontId="0" fillId="0" borderId="4" xfId="0" applyFill="1" applyBorder="1"/>
    <xf numFmtId="43" fontId="4" fillId="0" borderId="15" xfId="0" applyNumberFormat="1" applyFont="1" applyFill="1" applyBorder="1"/>
    <xf numFmtId="43" fontId="0" fillId="0" borderId="7" xfId="1" applyFont="1" applyFill="1" applyBorder="1"/>
    <xf numFmtId="43" fontId="1" fillId="0" borderId="9" xfId="1" applyFont="1" applyBorder="1"/>
    <xf numFmtId="43" fontId="11" fillId="0" borderId="9" xfId="1" applyFont="1" applyBorder="1"/>
    <xf numFmtId="43" fontId="1" fillId="0" borderId="6" xfId="1" applyFont="1" applyBorder="1"/>
    <xf numFmtId="43" fontId="0" fillId="0" borderId="9" xfId="1" applyFont="1" applyFill="1" applyBorder="1"/>
    <xf numFmtId="43" fontId="17" fillId="0" borderId="0" xfId="0" applyNumberFormat="1" applyFont="1"/>
    <xf numFmtId="44" fontId="17" fillId="3" borderId="3" xfId="0" applyNumberFormat="1" applyFont="1" applyFill="1" applyBorder="1"/>
    <xf numFmtId="43" fontId="8" fillId="6" borderId="4" xfId="1" applyFont="1" applyFill="1" applyBorder="1"/>
    <xf numFmtId="43" fontId="6" fillId="0" borderId="0" xfId="0" applyNumberFormat="1" applyFont="1"/>
    <xf numFmtId="0" fontId="4" fillId="0" borderId="5" xfId="0" applyFont="1" applyBorder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</xdr:row>
          <xdr:rowOff>171450</xdr:rowOff>
        </xdr:from>
        <xdr:to>
          <xdr:col>14</xdr:col>
          <xdr:colOff>66675</xdr:colOff>
          <xdr:row>49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49</xdr:row>
          <xdr:rowOff>161924</xdr:rowOff>
        </xdr:from>
        <xdr:to>
          <xdr:col>14</xdr:col>
          <xdr:colOff>66675</xdr:colOff>
          <xdr:row>52</xdr:row>
          <xdr:rowOff>123824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1209675</xdr:colOff>
          <xdr:row>32</xdr:row>
          <xdr:rowOff>133350</xdr:rowOff>
        </xdr:from>
        <xdr:to>
          <xdr:col>8</xdr:col>
          <xdr:colOff>142875</xdr:colOff>
          <xdr:row>34</xdr:row>
          <xdr:rowOff>47625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50</xdr:row>
          <xdr:rowOff>38100</xdr:rowOff>
        </xdr:from>
        <xdr:to>
          <xdr:col>7</xdr:col>
          <xdr:colOff>171450</xdr:colOff>
          <xdr:row>53</xdr:row>
          <xdr:rowOff>142875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76200</xdr:colOff>
      <xdr:row>33</xdr:row>
      <xdr:rowOff>76200</xdr:rowOff>
    </xdr:from>
    <xdr:to>
      <xdr:col>6</xdr:col>
      <xdr:colOff>1104900</xdr:colOff>
      <xdr:row>33</xdr:row>
      <xdr:rowOff>85725</xdr:rowOff>
    </xdr:to>
    <xdr:cxnSp macro="">
      <xdr:nvCxnSpPr>
        <xdr:cNvPr id="3" name="Straight Arrow Connector 2"/>
        <xdr:cNvCxnSpPr/>
      </xdr:nvCxnSpPr>
      <xdr:spPr>
        <a:xfrm flipV="1">
          <a:off x="4743450" y="5438775"/>
          <a:ext cx="10287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6"/>
  <sheetViews>
    <sheetView tabSelected="1" zoomScaleNormal="100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P8" sqref="P8"/>
    </sheetView>
  </sheetViews>
  <sheetFormatPr defaultRowHeight="12.75" x14ac:dyDescent="0.2"/>
  <cols>
    <col min="1" max="1" width="4.5703125" customWidth="1"/>
    <col min="2" max="2" width="19.140625" customWidth="1"/>
    <col min="3" max="8" width="12.7109375" customWidth="1"/>
    <col min="9" max="9" width="12.7109375" hidden="1" customWidth="1"/>
    <col min="10" max="11" width="12.85546875" customWidth="1"/>
    <col min="12" max="16" width="12.7109375" customWidth="1"/>
    <col min="17" max="17" width="1.85546875" style="82" customWidth="1"/>
  </cols>
  <sheetData>
    <row r="1" spans="1:17" x14ac:dyDescent="0.2">
      <c r="A1" s="1" t="s">
        <v>106</v>
      </c>
      <c r="B1" s="1"/>
    </row>
    <row r="2" spans="1:17" x14ac:dyDescent="0.2">
      <c r="A2" s="1" t="s">
        <v>67</v>
      </c>
      <c r="B2" s="1"/>
    </row>
    <row r="3" spans="1:17" x14ac:dyDescent="0.2">
      <c r="K3" s="83">
        <v>41822</v>
      </c>
      <c r="L3" s="83">
        <v>41822</v>
      </c>
      <c r="M3" s="53"/>
      <c r="P3" s="53"/>
    </row>
    <row r="4" spans="1:17" ht="55.5" customHeight="1" x14ac:dyDescent="0.2">
      <c r="A4" s="84" t="s">
        <v>68</v>
      </c>
      <c r="B4" s="85" t="s">
        <v>69</v>
      </c>
      <c r="C4" s="86" t="s">
        <v>70</v>
      </c>
      <c r="D4" s="86" t="s">
        <v>71</v>
      </c>
      <c r="E4" s="150" t="s">
        <v>72</v>
      </c>
      <c r="F4" s="87" t="s">
        <v>73</v>
      </c>
      <c r="G4" s="85" t="s">
        <v>74</v>
      </c>
      <c r="H4" s="87" t="s">
        <v>75</v>
      </c>
      <c r="I4" s="86" t="s">
        <v>76</v>
      </c>
      <c r="J4" s="85" t="s">
        <v>110</v>
      </c>
      <c r="K4" s="87" t="s">
        <v>77</v>
      </c>
      <c r="L4" s="85" t="s">
        <v>78</v>
      </c>
      <c r="M4" s="86" t="s">
        <v>79</v>
      </c>
      <c r="N4" s="86" t="s">
        <v>112</v>
      </c>
      <c r="O4" s="88" t="s">
        <v>80</v>
      </c>
      <c r="P4" s="89" t="s">
        <v>81</v>
      </c>
      <c r="Q4" s="90"/>
    </row>
    <row r="5" spans="1:17" x14ac:dyDescent="0.2">
      <c r="A5" s="91">
        <v>113</v>
      </c>
      <c r="B5" t="s">
        <v>82</v>
      </c>
      <c r="C5" s="92">
        <v>435015</v>
      </c>
      <c r="D5" s="93">
        <v>46494</v>
      </c>
      <c r="E5" s="151">
        <f>SUM(C5:D5)</f>
        <v>481509</v>
      </c>
      <c r="F5" s="95">
        <f>SUM(C5)</f>
        <v>435015</v>
      </c>
      <c r="G5" s="96">
        <f>-8500-8800</f>
        <v>-17300</v>
      </c>
      <c r="H5" s="97">
        <f>SUM(F5:G5)</f>
        <v>417715</v>
      </c>
      <c r="I5" s="93"/>
      <c r="J5" s="93">
        <f>113703.45+154150.1</f>
        <v>267853.55</v>
      </c>
      <c r="K5" s="94">
        <f>SUM(F51)</f>
        <v>333170.45999999996</v>
      </c>
      <c r="L5" s="98">
        <f>SUM(G51)</f>
        <v>32075.739999999998</v>
      </c>
      <c r="M5" s="92">
        <f>SUM(K5:L5)</f>
        <v>365246.19999999995</v>
      </c>
      <c r="N5" s="92">
        <f>SUM('PHEP FY 14 SAL PROJ '!G11)</f>
        <v>83592.684999999998</v>
      </c>
      <c r="O5" s="98">
        <f>SUM(L5:N5)</f>
        <v>480914.62499999994</v>
      </c>
      <c r="P5" s="99">
        <f>SUM(C5+G5-K5-N5)</f>
        <v>951.85500000003958</v>
      </c>
    </row>
    <row r="6" spans="1:17" x14ac:dyDescent="0.2">
      <c r="A6" s="91"/>
      <c r="B6" s="5" t="s">
        <v>83</v>
      </c>
      <c r="C6" s="100">
        <f t="shared" ref="C6:P6" si="0">SUM(C5)</f>
        <v>435015</v>
      </c>
      <c r="D6" s="100">
        <f t="shared" si="0"/>
        <v>46494</v>
      </c>
      <c r="E6" s="121">
        <f t="shared" si="0"/>
        <v>481509</v>
      </c>
      <c r="F6" s="103">
        <f t="shared" si="0"/>
        <v>435015</v>
      </c>
      <c r="G6" s="104">
        <f t="shared" si="0"/>
        <v>-17300</v>
      </c>
      <c r="H6" s="101">
        <f t="shared" si="0"/>
        <v>417715</v>
      </c>
      <c r="I6" s="100">
        <f t="shared" si="0"/>
        <v>0</v>
      </c>
      <c r="J6" s="100">
        <f t="shared" si="0"/>
        <v>267853.55</v>
      </c>
      <c r="K6" s="101">
        <f t="shared" si="0"/>
        <v>333170.45999999996</v>
      </c>
      <c r="L6" s="102">
        <f t="shared" si="0"/>
        <v>32075.739999999998</v>
      </c>
      <c r="M6" s="100">
        <f t="shared" si="0"/>
        <v>365246.19999999995</v>
      </c>
      <c r="N6" s="100">
        <f t="shared" si="0"/>
        <v>83592.684999999998</v>
      </c>
      <c r="O6" s="102">
        <f t="shared" si="0"/>
        <v>480914.62499999994</v>
      </c>
      <c r="P6" s="105">
        <f t="shared" si="0"/>
        <v>951.85500000003958</v>
      </c>
    </row>
    <row r="7" spans="1:17" x14ac:dyDescent="0.2">
      <c r="A7" s="91"/>
      <c r="C7" s="106"/>
      <c r="D7" s="106"/>
      <c r="E7" s="152"/>
      <c r="F7" s="107"/>
      <c r="G7" s="108"/>
      <c r="H7" s="109"/>
      <c r="I7" s="108"/>
      <c r="J7" s="61"/>
      <c r="K7" s="101"/>
      <c r="L7" s="61"/>
      <c r="M7" s="108"/>
      <c r="N7" s="108"/>
      <c r="O7" s="110"/>
      <c r="P7" s="108"/>
    </row>
    <row r="8" spans="1:17" x14ac:dyDescent="0.2">
      <c r="A8" s="91">
        <v>211</v>
      </c>
      <c r="B8" t="s">
        <v>84</v>
      </c>
      <c r="C8" s="106">
        <v>41640</v>
      </c>
      <c r="D8" s="106">
        <v>2918</v>
      </c>
      <c r="E8" s="152">
        <f>SUM(C8:D8)</f>
        <v>44558</v>
      </c>
      <c r="F8" s="136">
        <f>SUM(C8)</f>
        <v>41640</v>
      </c>
      <c r="G8" s="156">
        <f>8500+1900+700+1400+138+452</f>
        <v>13090</v>
      </c>
      <c r="H8" s="101">
        <f>SUM(F8:G8)</f>
        <v>54730</v>
      </c>
      <c r="I8" s="108"/>
      <c r="J8" s="61">
        <f>12279.68+28577.62</f>
        <v>40857.300000000003</v>
      </c>
      <c r="K8" s="101">
        <f>SUM(F56)</f>
        <v>39833.89</v>
      </c>
      <c r="L8" s="61">
        <f>SUM(G56)</f>
        <v>2548.89</v>
      </c>
      <c r="M8" s="111">
        <f>SUM(K8:L8)</f>
        <v>42382.78</v>
      </c>
      <c r="N8" s="112">
        <f>SUM('PHEP FY 14 SAL PROJ '!G14)</f>
        <v>11494.945</v>
      </c>
      <c r="O8" s="110">
        <f t="shared" ref="O8:O13" si="1">SUM(L8:N8)</f>
        <v>56426.614999999998</v>
      </c>
      <c r="P8" s="113">
        <f>SUM(C8+G8-K8-N8)</f>
        <v>3401.1650000000009</v>
      </c>
    </row>
    <row r="9" spans="1:17" x14ac:dyDescent="0.2">
      <c r="A9" s="91">
        <v>212</v>
      </c>
      <c r="B9" t="s">
        <v>85</v>
      </c>
      <c r="C9" s="106">
        <v>270</v>
      </c>
      <c r="D9" s="106">
        <v>19</v>
      </c>
      <c r="E9" s="152">
        <f t="shared" ref="E9:E13" si="2">SUM(C9:D9)</f>
        <v>289</v>
      </c>
      <c r="F9" s="136">
        <f t="shared" ref="F9:F13" si="3">SUM(C9)</f>
        <v>270</v>
      </c>
      <c r="G9" s="112">
        <v>100</v>
      </c>
      <c r="H9" s="101">
        <f t="shared" ref="H9:H13" si="4">SUM(F9:G9)</f>
        <v>370</v>
      </c>
      <c r="I9" s="108"/>
      <c r="J9" s="61">
        <f>75.3+200.68</f>
        <v>275.98</v>
      </c>
      <c r="K9" s="101">
        <f>SUM(F61)</f>
        <v>261.23</v>
      </c>
      <c r="L9" s="61">
        <f>SUM(G61)</f>
        <v>14.57</v>
      </c>
      <c r="M9" s="108">
        <f t="shared" ref="M9:M13" si="5">SUM(K9:L9)</f>
        <v>275.8</v>
      </c>
      <c r="N9" s="112">
        <f>SUM('PHEP FY 14 SAL PROJ '!G15)</f>
        <v>77.575000000000003</v>
      </c>
      <c r="O9" s="110">
        <f t="shared" si="1"/>
        <v>367.94499999999999</v>
      </c>
      <c r="P9" s="113">
        <f t="shared" ref="P9:P13" si="6">SUM(C9+G9-K9-N9)</f>
        <v>31.194999999999979</v>
      </c>
    </row>
    <row r="10" spans="1:17" x14ac:dyDescent="0.2">
      <c r="A10" s="91">
        <v>220</v>
      </c>
      <c r="B10" t="s">
        <v>86</v>
      </c>
      <c r="C10" s="106">
        <v>33279</v>
      </c>
      <c r="D10" s="106">
        <v>3558</v>
      </c>
      <c r="E10" s="152">
        <f t="shared" si="2"/>
        <v>36837</v>
      </c>
      <c r="F10" s="136">
        <f t="shared" si="3"/>
        <v>33279</v>
      </c>
      <c r="G10" s="112">
        <f>-700-100</f>
        <v>-800</v>
      </c>
      <c r="H10" s="101">
        <f t="shared" si="4"/>
        <v>32479</v>
      </c>
      <c r="I10" s="108"/>
      <c r="J10" s="61">
        <f>8414.7+11687.18</f>
        <v>20101.88</v>
      </c>
      <c r="K10" s="101">
        <f>SUM(F66)</f>
        <v>24706.809999999998</v>
      </c>
      <c r="L10" s="61">
        <f>SUM(G66)</f>
        <v>2372.6800000000003</v>
      </c>
      <c r="M10" s="108">
        <f t="shared" si="5"/>
        <v>27079.489999999998</v>
      </c>
      <c r="N10" s="108">
        <f>SUM('PHEP FY 14 SAL PROJ '!G16)</f>
        <v>6394.8404025</v>
      </c>
      <c r="O10" s="110">
        <f t="shared" si="1"/>
        <v>35847.010402499996</v>
      </c>
      <c r="P10" s="113">
        <f t="shared" si="6"/>
        <v>1377.3495975000023</v>
      </c>
    </row>
    <row r="11" spans="1:17" x14ac:dyDescent="0.2">
      <c r="A11" s="91">
        <v>230</v>
      </c>
      <c r="B11" t="s">
        <v>87</v>
      </c>
      <c r="C11" s="106">
        <v>44894</v>
      </c>
      <c r="D11" s="106">
        <v>4799</v>
      </c>
      <c r="E11" s="152">
        <f t="shared" si="2"/>
        <v>49693</v>
      </c>
      <c r="F11" s="136">
        <f t="shared" si="3"/>
        <v>44894</v>
      </c>
      <c r="G11" s="156">
        <f>740+441.06+150</f>
        <v>1331.06</v>
      </c>
      <c r="H11" s="101">
        <f t="shared" si="4"/>
        <v>46225.06</v>
      </c>
      <c r="I11" s="108"/>
      <c r="J11" s="61">
        <f>12032.12+16940.26</f>
        <v>28972.379999999997</v>
      </c>
      <c r="K11" s="101">
        <f>SUM(F71)</f>
        <v>35803.01</v>
      </c>
      <c r="L11" s="61">
        <f>SUM(G71)</f>
        <v>3366.9700000000003</v>
      </c>
      <c r="M11" s="108">
        <f t="shared" si="5"/>
        <v>39169.980000000003</v>
      </c>
      <c r="N11" s="108">
        <f>SUM('PHEP FY 14 SAL PROJ '!G17)</f>
        <v>9103.2433965</v>
      </c>
      <c r="O11" s="110">
        <f t="shared" si="1"/>
        <v>51640.193396500006</v>
      </c>
      <c r="P11" s="113">
        <f t="shared" si="6"/>
        <v>1318.8066034999956</v>
      </c>
    </row>
    <row r="12" spans="1:17" x14ac:dyDescent="0.2">
      <c r="A12" s="91">
        <v>250</v>
      </c>
      <c r="B12" t="s">
        <v>88</v>
      </c>
      <c r="C12" s="106">
        <v>4350</v>
      </c>
      <c r="D12" s="106">
        <v>466</v>
      </c>
      <c r="E12" s="152">
        <f t="shared" si="2"/>
        <v>4816</v>
      </c>
      <c r="F12" s="136">
        <f t="shared" si="3"/>
        <v>4350</v>
      </c>
      <c r="G12" s="112">
        <v>-1900</v>
      </c>
      <c r="H12" s="101">
        <f t="shared" si="4"/>
        <v>2450</v>
      </c>
      <c r="I12" s="108"/>
      <c r="J12" s="61">
        <f>609.61+890.67</f>
        <v>1500.28</v>
      </c>
      <c r="K12" s="101">
        <f>SUM(F76)</f>
        <v>1874.4700000000003</v>
      </c>
      <c r="L12" s="106">
        <f>SUM(G76)</f>
        <v>178.93</v>
      </c>
      <c r="M12" s="108">
        <f t="shared" si="5"/>
        <v>2053.4</v>
      </c>
      <c r="N12" s="108">
        <f>SUM('PHEP FY 14 SAL PROJ '!G18)</f>
        <v>476.47830449999992</v>
      </c>
      <c r="O12" s="110">
        <f t="shared" si="1"/>
        <v>2708.8083044999998</v>
      </c>
      <c r="P12" s="113">
        <f t="shared" si="6"/>
        <v>99.051695499999823</v>
      </c>
    </row>
    <row r="13" spans="1:17" x14ac:dyDescent="0.2">
      <c r="A13" s="91">
        <v>260</v>
      </c>
      <c r="B13" t="s">
        <v>89</v>
      </c>
      <c r="C13" s="114">
        <v>4350</v>
      </c>
      <c r="D13" s="114">
        <v>464</v>
      </c>
      <c r="E13" s="155">
        <f t="shared" si="2"/>
        <v>4814</v>
      </c>
      <c r="F13" s="136">
        <f t="shared" si="3"/>
        <v>4350</v>
      </c>
      <c r="G13" s="158">
        <v>-1400</v>
      </c>
      <c r="H13" s="115">
        <f t="shared" si="4"/>
        <v>2950</v>
      </c>
      <c r="I13" s="117"/>
      <c r="J13" s="68">
        <f>316.17+1053.74</f>
        <v>1369.91</v>
      </c>
      <c r="K13" s="115">
        <f>SUM(F81)</f>
        <v>1688.5300000000002</v>
      </c>
      <c r="L13" s="114">
        <f>SUM(G81)</f>
        <v>111.47</v>
      </c>
      <c r="M13" s="117">
        <f t="shared" si="5"/>
        <v>1800.0000000000002</v>
      </c>
      <c r="N13" s="117">
        <f>SUM('PHEP FY 14 SAL PROJ '!G19)</f>
        <v>521.34500000000003</v>
      </c>
      <c r="O13" s="114">
        <f t="shared" si="1"/>
        <v>2432.8150000000005</v>
      </c>
      <c r="P13" s="119">
        <f t="shared" si="6"/>
        <v>740.12499999999977</v>
      </c>
    </row>
    <row r="14" spans="1:17" x14ac:dyDescent="0.2">
      <c r="A14" s="91"/>
      <c r="B14" s="5" t="s">
        <v>90</v>
      </c>
      <c r="C14" s="100">
        <f t="shared" ref="C14:I14" si="7">SUM(C8:C13)</f>
        <v>128783</v>
      </c>
      <c r="D14" s="100">
        <f t="shared" si="7"/>
        <v>12224</v>
      </c>
      <c r="E14" s="121">
        <f t="shared" si="7"/>
        <v>141007</v>
      </c>
      <c r="F14" s="101">
        <f t="shared" si="7"/>
        <v>128783</v>
      </c>
      <c r="G14" s="100">
        <f t="shared" si="7"/>
        <v>10421.06</v>
      </c>
      <c r="H14" s="101">
        <f t="shared" si="7"/>
        <v>139204.06</v>
      </c>
      <c r="I14" s="100">
        <f t="shared" si="7"/>
        <v>0</v>
      </c>
      <c r="J14" s="100">
        <f t="shared" ref="J14:P14" si="8">SUM(J8:J13)</f>
        <v>93077.73000000001</v>
      </c>
      <c r="K14" s="101">
        <f t="shared" si="8"/>
        <v>104167.94</v>
      </c>
      <c r="L14" s="102">
        <f t="shared" si="8"/>
        <v>8593.51</v>
      </c>
      <c r="M14" s="102">
        <f t="shared" si="8"/>
        <v>112761.45000000001</v>
      </c>
      <c r="N14" s="100">
        <f t="shared" si="8"/>
        <v>28068.427103500006</v>
      </c>
      <c r="O14" s="100">
        <f t="shared" si="8"/>
        <v>149423.38710350002</v>
      </c>
      <c r="P14" s="105">
        <f t="shared" si="8"/>
        <v>6967.6928964999988</v>
      </c>
    </row>
    <row r="15" spans="1:17" x14ac:dyDescent="0.2">
      <c r="A15" s="91"/>
      <c r="C15" s="108"/>
      <c r="D15" s="108"/>
      <c r="E15" s="121"/>
      <c r="F15" s="107"/>
      <c r="G15" s="108"/>
      <c r="H15" s="101"/>
      <c r="I15" s="108"/>
      <c r="J15" s="61"/>
      <c r="K15" s="101"/>
      <c r="L15" s="61"/>
      <c r="M15" s="108"/>
      <c r="N15" s="108"/>
      <c r="O15" s="112"/>
      <c r="P15" s="112"/>
    </row>
    <row r="16" spans="1:17" x14ac:dyDescent="0.2">
      <c r="A16" s="91">
        <v>581</v>
      </c>
      <c r="B16" t="s">
        <v>91</v>
      </c>
      <c r="C16" s="108">
        <v>814</v>
      </c>
      <c r="D16" s="108"/>
      <c r="E16" s="152">
        <f>SUM(C16:D16)</f>
        <v>814</v>
      </c>
      <c r="F16" s="136">
        <f>SUM(C16)</f>
        <v>814</v>
      </c>
      <c r="G16" s="112">
        <v>-150</v>
      </c>
      <c r="H16" s="120">
        <f>SUM(F16:G16)</f>
        <v>664</v>
      </c>
      <c r="I16" s="121">
        <v>0</v>
      </c>
      <c r="J16" s="61"/>
      <c r="K16" s="101"/>
      <c r="L16" s="61"/>
      <c r="M16" s="108"/>
      <c r="N16" s="106">
        <v>0</v>
      </c>
      <c r="O16" s="108">
        <f>SUM(L16:N16)</f>
        <v>0</v>
      </c>
      <c r="P16" s="113">
        <f>H16-O16</f>
        <v>664</v>
      </c>
    </row>
    <row r="17" spans="1:16" x14ac:dyDescent="0.2">
      <c r="A17" s="91">
        <v>583</v>
      </c>
      <c r="B17" t="s">
        <v>92</v>
      </c>
      <c r="C17" s="117">
        <v>10674</v>
      </c>
      <c r="D17" s="117"/>
      <c r="E17" s="124">
        <f>SUM(C17:D17)</f>
        <v>10674</v>
      </c>
      <c r="F17" s="122">
        <f>SUM(C17)</f>
        <v>10674</v>
      </c>
      <c r="G17" s="117">
        <v>-2</v>
      </c>
      <c r="H17" s="123">
        <f>SUM(F17:G17)</f>
        <v>10672</v>
      </c>
      <c r="I17" s="124"/>
      <c r="J17" s="117">
        <f>1700.5+3873.73</f>
        <v>5574.23</v>
      </c>
      <c r="K17" s="115"/>
      <c r="L17" s="114"/>
      <c r="M17" s="117">
        <f>1700.5+3873.73</f>
        <v>5574.23</v>
      </c>
      <c r="N17" s="117">
        <v>2634.57</v>
      </c>
      <c r="O17" s="118">
        <f>SUM(L17:N17)</f>
        <v>8208.7999999999993</v>
      </c>
      <c r="P17" s="125">
        <f>H17-O17</f>
        <v>2463.2000000000007</v>
      </c>
    </row>
    <row r="18" spans="1:16" x14ac:dyDescent="0.2">
      <c r="A18" s="91"/>
      <c r="B18" s="5" t="s">
        <v>93</v>
      </c>
      <c r="C18" s="100">
        <f>SUM(C16:C17)</f>
        <v>11488</v>
      </c>
      <c r="D18" s="100"/>
      <c r="E18" s="121">
        <f>SUM(E16:E17)</f>
        <v>11488</v>
      </c>
      <c r="F18" s="101">
        <f>SUM(F16:F17)</f>
        <v>11488</v>
      </c>
      <c r="G18" s="162">
        <f>SUM(G16:G17)</f>
        <v>-152</v>
      </c>
      <c r="H18" s="101">
        <f>SUM(H16:H17)</f>
        <v>11336</v>
      </c>
      <c r="I18" s="100">
        <f>SUM(I16:I17)</f>
        <v>0</v>
      </c>
      <c r="J18" s="100">
        <f t="shared" ref="J18:P18" si="9">SUM(J16:J17)</f>
        <v>5574.23</v>
      </c>
      <c r="K18" s="101">
        <f t="shared" si="9"/>
        <v>0</v>
      </c>
      <c r="L18" s="102">
        <f t="shared" si="9"/>
        <v>0</v>
      </c>
      <c r="M18" s="100"/>
      <c r="N18" s="100">
        <f t="shared" si="9"/>
        <v>2634.57</v>
      </c>
      <c r="O18" s="102">
        <f t="shared" si="9"/>
        <v>8208.7999999999993</v>
      </c>
      <c r="P18" s="126">
        <f t="shared" si="9"/>
        <v>3127.2000000000007</v>
      </c>
    </row>
    <row r="19" spans="1:16" x14ac:dyDescent="0.2">
      <c r="A19" s="91"/>
      <c r="B19" s="5"/>
      <c r="C19" s="121"/>
      <c r="D19" s="121"/>
      <c r="E19" s="121"/>
      <c r="F19" s="127"/>
      <c r="G19" s="121"/>
      <c r="H19" s="101"/>
      <c r="I19" s="121"/>
      <c r="J19" s="60"/>
      <c r="K19" s="101"/>
      <c r="L19" s="60"/>
      <c r="M19" s="121"/>
      <c r="N19" s="121"/>
      <c r="O19" s="60"/>
      <c r="P19" s="121"/>
    </row>
    <row r="20" spans="1:16" x14ac:dyDescent="0.2">
      <c r="A20" s="91">
        <v>748</v>
      </c>
      <c r="B20" s="128"/>
      <c r="C20" s="117"/>
      <c r="D20" s="117"/>
      <c r="E20" s="124"/>
      <c r="F20" s="129"/>
      <c r="G20" s="117"/>
      <c r="H20" s="123">
        <f>SUM(G20)</f>
        <v>0</v>
      </c>
      <c r="I20" s="124"/>
      <c r="J20" s="68"/>
      <c r="K20" s="115"/>
      <c r="L20" s="68"/>
      <c r="M20" s="117"/>
      <c r="N20" s="117"/>
      <c r="O20" s="114">
        <f>SUM(L20:N20)</f>
        <v>0</v>
      </c>
      <c r="P20" s="116">
        <f>I20-O20</f>
        <v>0</v>
      </c>
    </row>
    <row r="21" spans="1:16" x14ac:dyDescent="0.2">
      <c r="A21" s="91"/>
      <c r="B21" s="5" t="s">
        <v>94</v>
      </c>
      <c r="C21" s="100"/>
      <c r="D21" s="100"/>
      <c r="E21" s="121"/>
      <c r="F21" s="101"/>
      <c r="G21" s="100"/>
      <c r="H21" s="101">
        <f>SUM(H20)</f>
        <v>0</v>
      </c>
      <c r="I21" s="100">
        <f>SUM(I20:I20)</f>
        <v>0</v>
      </c>
      <c r="J21" s="130"/>
      <c r="K21" s="101"/>
      <c r="L21" s="130"/>
      <c r="M21" s="100"/>
      <c r="N21" s="100"/>
      <c r="O21" s="131"/>
      <c r="P21" s="100">
        <f>SUM(P20:P20)</f>
        <v>0</v>
      </c>
    </row>
    <row r="22" spans="1:16" x14ac:dyDescent="0.2">
      <c r="A22" s="91"/>
      <c r="C22" s="108"/>
      <c r="D22" s="108"/>
      <c r="E22" s="121"/>
      <c r="F22" s="107"/>
      <c r="G22" s="108"/>
      <c r="H22" s="101"/>
      <c r="I22" s="108"/>
      <c r="J22" s="61"/>
      <c r="K22" s="101"/>
      <c r="L22" s="61"/>
      <c r="M22" s="108"/>
      <c r="N22" s="108"/>
      <c r="O22" s="110"/>
      <c r="P22" s="108"/>
    </row>
    <row r="23" spans="1:16" x14ac:dyDescent="0.2">
      <c r="A23" s="91">
        <v>601</v>
      </c>
      <c r="B23" t="s">
        <v>95</v>
      </c>
      <c r="C23" s="108">
        <v>720</v>
      </c>
      <c r="D23" s="108"/>
      <c r="E23" s="152">
        <f>SUM(C23:D23)</f>
        <v>720</v>
      </c>
      <c r="F23" s="136">
        <f>SUM(C23)</f>
        <v>720</v>
      </c>
      <c r="G23" s="157">
        <f>-441.06+8800</f>
        <v>8358.94</v>
      </c>
      <c r="H23" s="120">
        <f>SUM(F23:G23)</f>
        <v>9078.94</v>
      </c>
      <c r="I23" s="121"/>
      <c r="J23" s="108">
        <v>278.94</v>
      </c>
      <c r="K23" s="101"/>
      <c r="L23" s="110"/>
      <c r="M23" s="108">
        <v>278.94</v>
      </c>
      <c r="N23" s="108">
        <v>458.82</v>
      </c>
      <c r="O23" s="110">
        <f t="shared" ref="O23:O24" si="10">SUM(L23:N23)</f>
        <v>737.76</v>
      </c>
      <c r="P23" s="132">
        <f>H23-O23</f>
        <v>8341.18</v>
      </c>
    </row>
    <row r="24" spans="1:16" x14ac:dyDescent="0.2">
      <c r="A24" s="91">
        <v>604</v>
      </c>
      <c r="B24" t="s">
        <v>96</v>
      </c>
      <c r="C24" s="108"/>
      <c r="D24" s="108"/>
      <c r="E24" s="152">
        <f t="shared" ref="E24:E26" si="11">SUM(C24:D24)</f>
        <v>0</v>
      </c>
      <c r="F24" s="136">
        <f t="shared" ref="F24:F27" si="12">SUM(C24)</f>
        <v>0</v>
      </c>
      <c r="G24" s="112"/>
      <c r="H24" s="120">
        <f t="shared" ref="H24:H27" si="13">SUM(F24:G24)</f>
        <v>0</v>
      </c>
      <c r="I24" s="121"/>
      <c r="J24" s="110">
        <v>0</v>
      </c>
      <c r="K24" s="101"/>
      <c r="L24" s="110"/>
      <c r="M24" s="108"/>
      <c r="N24" s="108"/>
      <c r="O24" s="110">
        <f t="shared" si="10"/>
        <v>0</v>
      </c>
      <c r="P24" s="132">
        <f t="shared" ref="P24:P27" si="14">H24-J24</f>
        <v>0</v>
      </c>
    </row>
    <row r="25" spans="1:16" x14ac:dyDescent="0.2">
      <c r="A25" s="91">
        <v>607</v>
      </c>
      <c r="B25" t="s">
        <v>97</v>
      </c>
      <c r="C25" s="106"/>
      <c r="D25" s="108"/>
      <c r="E25" s="152">
        <f t="shared" si="11"/>
        <v>0</v>
      </c>
      <c r="F25" s="136">
        <f t="shared" si="12"/>
        <v>0</v>
      </c>
      <c r="G25" s="112"/>
      <c r="H25" s="120">
        <f t="shared" si="13"/>
        <v>0</v>
      </c>
      <c r="I25" s="121"/>
      <c r="J25" s="110">
        <v>0</v>
      </c>
      <c r="K25" s="101"/>
      <c r="L25" s="110"/>
      <c r="M25" s="108"/>
      <c r="N25" s="108"/>
      <c r="O25" s="110"/>
      <c r="P25" s="132">
        <f t="shared" si="14"/>
        <v>0</v>
      </c>
    </row>
    <row r="26" spans="1:16" x14ac:dyDescent="0.2">
      <c r="A26" s="91">
        <v>665</v>
      </c>
      <c r="B26" t="s">
        <v>98</v>
      </c>
      <c r="C26" s="106"/>
      <c r="D26" s="108"/>
      <c r="E26" s="152">
        <f t="shared" si="11"/>
        <v>0</v>
      </c>
      <c r="F26" s="136">
        <f t="shared" si="12"/>
        <v>0</v>
      </c>
      <c r="G26" s="112"/>
      <c r="H26" s="120">
        <f t="shared" si="13"/>
        <v>0</v>
      </c>
      <c r="I26" s="121"/>
      <c r="J26" s="110"/>
      <c r="K26" s="101"/>
      <c r="L26" s="110"/>
      <c r="M26" s="108"/>
      <c r="N26" s="108"/>
      <c r="O26" s="110"/>
      <c r="P26" s="132">
        <f t="shared" si="14"/>
        <v>0</v>
      </c>
    </row>
    <row r="27" spans="1:16" x14ac:dyDescent="0.2">
      <c r="A27" s="91">
        <v>748</v>
      </c>
      <c r="B27" t="s">
        <v>99</v>
      </c>
      <c r="C27" s="117"/>
      <c r="D27" s="117"/>
      <c r="E27" s="124">
        <f>SUM(C27:D27)</f>
        <v>0</v>
      </c>
      <c r="F27" s="122">
        <f t="shared" si="12"/>
        <v>0</v>
      </c>
      <c r="G27" s="117"/>
      <c r="H27" s="133">
        <f t="shared" si="13"/>
        <v>0</v>
      </c>
      <c r="I27" s="124"/>
      <c r="J27" s="68"/>
      <c r="K27" s="115"/>
      <c r="L27" s="68"/>
      <c r="M27" s="117"/>
      <c r="N27" s="117"/>
      <c r="O27" s="68"/>
      <c r="P27" s="125">
        <f t="shared" si="14"/>
        <v>0</v>
      </c>
    </row>
    <row r="28" spans="1:16" x14ac:dyDescent="0.2">
      <c r="A28" s="91"/>
      <c r="B28" s="5" t="s">
        <v>100</v>
      </c>
      <c r="C28" s="100">
        <f t="shared" ref="C28:H28" si="15">SUM(C23:C27)</f>
        <v>720</v>
      </c>
      <c r="D28" s="100">
        <f t="shared" si="15"/>
        <v>0</v>
      </c>
      <c r="E28" s="121">
        <f t="shared" si="15"/>
        <v>720</v>
      </c>
      <c r="F28" s="101">
        <f t="shared" si="15"/>
        <v>720</v>
      </c>
      <c r="G28" s="100">
        <f t="shared" si="15"/>
        <v>8358.94</v>
      </c>
      <c r="H28" s="101">
        <f t="shared" si="15"/>
        <v>9078.94</v>
      </c>
      <c r="I28" s="100">
        <f>SUM(I23:I24)</f>
        <v>0</v>
      </c>
      <c r="J28" s="100">
        <f>SUM(J23:J27)</f>
        <v>278.94</v>
      </c>
      <c r="K28" s="101">
        <f>SUM(K23:K24)</f>
        <v>0</v>
      </c>
      <c r="L28" s="102">
        <f>SUM(L23:L24)</f>
        <v>0</v>
      </c>
      <c r="M28" s="100"/>
      <c r="N28" s="100">
        <f>SUM(N23:N24)</f>
        <v>458.82</v>
      </c>
      <c r="O28" s="100">
        <f>SUM(O23:O24)</f>
        <v>737.76</v>
      </c>
      <c r="P28" s="100">
        <f>SUM(P23:P24)</f>
        <v>8341.18</v>
      </c>
    </row>
    <row r="29" spans="1:16" x14ac:dyDescent="0.2">
      <c r="A29" s="91"/>
      <c r="C29" s="121"/>
      <c r="D29" s="121"/>
      <c r="E29" s="121"/>
      <c r="F29" s="107"/>
      <c r="G29" s="121"/>
      <c r="H29" s="101"/>
      <c r="I29" s="121"/>
      <c r="J29" s="60"/>
      <c r="K29" s="101"/>
      <c r="L29" s="60"/>
      <c r="M29" s="121"/>
      <c r="N29" s="121"/>
      <c r="O29" s="60"/>
      <c r="P29" s="121"/>
    </row>
    <row r="30" spans="1:16" x14ac:dyDescent="0.2">
      <c r="A30" s="91"/>
      <c r="C30" s="117">
        <v>0</v>
      </c>
      <c r="D30" s="117"/>
      <c r="E30" s="124"/>
      <c r="F30" s="129"/>
      <c r="G30" s="117"/>
      <c r="H30" s="115"/>
      <c r="I30" s="117">
        <v>0</v>
      </c>
      <c r="J30" s="68">
        <v>0</v>
      </c>
      <c r="K30" s="115"/>
      <c r="L30" s="114">
        <f>SUM(J30:K30)</f>
        <v>0</v>
      </c>
      <c r="M30" s="117"/>
      <c r="N30" s="117"/>
      <c r="O30" s="68">
        <f>SUM(L30:N30)</f>
        <v>0</v>
      </c>
      <c r="P30" s="125">
        <f>I30-O30</f>
        <v>0</v>
      </c>
    </row>
    <row r="31" spans="1:16" x14ac:dyDescent="0.2">
      <c r="A31" s="91"/>
      <c r="B31" s="5" t="s">
        <v>101</v>
      </c>
      <c r="C31" s="100">
        <f>SUM(C30:C30)</f>
        <v>0</v>
      </c>
      <c r="D31" s="100"/>
      <c r="E31" s="121">
        <f t="shared" ref="E31:K31" si="16">SUM(E30:E30)</f>
        <v>0</v>
      </c>
      <c r="F31" s="101">
        <f t="shared" si="16"/>
        <v>0</v>
      </c>
      <c r="G31" s="100">
        <f t="shared" si="16"/>
        <v>0</v>
      </c>
      <c r="H31" s="101">
        <f t="shared" si="16"/>
        <v>0</v>
      </c>
      <c r="I31" s="100">
        <f t="shared" si="16"/>
        <v>0</v>
      </c>
      <c r="J31" s="100">
        <f t="shared" si="16"/>
        <v>0</v>
      </c>
      <c r="K31" s="101">
        <f t="shared" si="16"/>
        <v>0</v>
      </c>
      <c r="L31" s="130">
        <f>SUM(J31:K31)</f>
        <v>0</v>
      </c>
      <c r="M31" s="100"/>
      <c r="N31" s="100">
        <v>0</v>
      </c>
      <c r="O31" s="131">
        <f>SUM(L31:N31)</f>
        <v>0</v>
      </c>
      <c r="P31" s="100">
        <f>SUM(P30:P30)</f>
        <v>0</v>
      </c>
    </row>
    <row r="32" spans="1:16" x14ac:dyDescent="0.2">
      <c r="A32" s="91"/>
      <c r="C32" s="121"/>
      <c r="D32" s="121"/>
      <c r="E32" s="121"/>
      <c r="F32" s="107"/>
      <c r="G32" s="121"/>
      <c r="H32" s="101"/>
      <c r="I32" s="121"/>
      <c r="J32" s="134"/>
      <c r="K32" s="101"/>
      <c r="L32" s="134"/>
      <c r="M32" s="121"/>
      <c r="N32" s="121"/>
      <c r="O32" s="60"/>
      <c r="P32" s="121"/>
    </row>
    <row r="33" spans="1:16" x14ac:dyDescent="0.2">
      <c r="A33" s="91">
        <v>534</v>
      </c>
      <c r="B33" t="s">
        <v>107</v>
      </c>
      <c r="C33" s="121">
        <v>4465</v>
      </c>
      <c r="D33" s="121"/>
      <c r="E33" s="152">
        <f>SUM(C33:D33)</f>
        <v>4465</v>
      </c>
      <c r="F33" s="136">
        <f>SUM(C33)</f>
        <v>4465</v>
      </c>
      <c r="G33" s="159">
        <f>-452-740</f>
        <v>-1192</v>
      </c>
      <c r="H33" s="120">
        <f t="shared" ref="H33:H34" si="17">SUM(F33:G33)</f>
        <v>3273</v>
      </c>
      <c r="I33" s="121"/>
      <c r="J33" s="108">
        <f>1091.35</f>
        <v>1091.3499999999999</v>
      </c>
      <c r="K33" s="101"/>
      <c r="L33" s="110"/>
      <c r="M33" s="108">
        <f>1091.35</f>
        <v>1091.3499999999999</v>
      </c>
      <c r="N33" s="121">
        <v>2169.6</v>
      </c>
      <c r="O33" s="110">
        <f t="shared" ref="O33:O35" si="18">SUM(L33:N33)</f>
        <v>3260.95</v>
      </c>
      <c r="P33" s="132">
        <f>H33-O33</f>
        <v>12.050000000000182</v>
      </c>
    </row>
    <row r="34" spans="1:16" x14ac:dyDescent="0.2">
      <c r="A34" s="91">
        <v>584</v>
      </c>
      <c r="B34" t="s">
        <v>108</v>
      </c>
      <c r="C34" s="121">
        <v>1650</v>
      </c>
      <c r="D34" s="121"/>
      <c r="E34" s="152">
        <f t="shared" ref="E34" si="19">SUM(C34:D34)</f>
        <v>1650</v>
      </c>
      <c r="F34" s="136">
        <f t="shared" ref="F34" si="20">SUM(C34)</f>
        <v>1650</v>
      </c>
      <c r="G34" s="112"/>
      <c r="H34" s="120">
        <f t="shared" si="17"/>
        <v>1650</v>
      </c>
      <c r="I34" s="121"/>
      <c r="J34" s="134">
        <v>0</v>
      </c>
      <c r="K34" s="101"/>
      <c r="L34" s="110"/>
      <c r="M34" s="108">
        <f>300+900</f>
        <v>1200</v>
      </c>
      <c r="N34" s="121"/>
      <c r="O34" s="110">
        <f t="shared" si="18"/>
        <v>1200</v>
      </c>
      <c r="P34" s="132">
        <f>H34-O34</f>
        <v>450</v>
      </c>
    </row>
    <row r="35" spans="1:16" x14ac:dyDescent="0.2">
      <c r="A35" s="91">
        <v>780</v>
      </c>
      <c r="B35" t="s">
        <v>109</v>
      </c>
      <c r="C35" s="108">
        <v>4940</v>
      </c>
      <c r="D35" s="108"/>
      <c r="E35" s="152">
        <f t="shared" ref="E35" si="21">SUM(C35:D35)</f>
        <v>4940</v>
      </c>
      <c r="F35" s="136">
        <f t="shared" ref="F35" si="22">SUM(C35)</f>
        <v>4940</v>
      </c>
      <c r="G35" s="112">
        <v>2</v>
      </c>
      <c r="H35" s="120">
        <f t="shared" ref="H35" si="23">SUM(F35:G35)</f>
        <v>4942</v>
      </c>
      <c r="I35" s="124"/>
      <c r="J35" s="117">
        <f>1631.17+15.51+1235.01</f>
        <v>2881.69</v>
      </c>
      <c r="K35" s="115"/>
      <c r="L35" s="68"/>
      <c r="M35" s="117">
        <f>1631.17+15.51+1235.01</f>
        <v>2881.69</v>
      </c>
      <c r="N35" s="117">
        <v>1502.1</v>
      </c>
      <c r="O35" s="68">
        <f t="shared" si="18"/>
        <v>4383.79</v>
      </c>
      <c r="P35" s="125">
        <f>H35-O35</f>
        <v>558.21</v>
      </c>
    </row>
    <row r="36" spans="1:16" x14ac:dyDescent="0.2">
      <c r="A36" s="91"/>
      <c r="B36" s="5" t="s">
        <v>102</v>
      </c>
      <c r="C36" s="135">
        <f>SUM(C33:C35)</f>
        <v>11055</v>
      </c>
      <c r="D36" s="135"/>
      <c r="E36" s="138">
        <f t="shared" ref="E36:P36" si="24">SUM(E33:E35)</f>
        <v>11055</v>
      </c>
      <c r="F36" s="136">
        <f t="shared" si="24"/>
        <v>11055</v>
      </c>
      <c r="G36" s="135">
        <f t="shared" si="24"/>
        <v>-1190</v>
      </c>
      <c r="H36" s="136">
        <f t="shared" si="24"/>
        <v>9865</v>
      </c>
      <c r="I36" s="135">
        <f t="shared" si="24"/>
        <v>0</v>
      </c>
      <c r="J36" s="135">
        <f t="shared" si="24"/>
        <v>3973.04</v>
      </c>
      <c r="K36" s="136">
        <f t="shared" si="24"/>
        <v>0</v>
      </c>
      <c r="L36" s="137">
        <f t="shared" si="24"/>
        <v>0</v>
      </c>
      <c r="M36" s="137">
        <f t="shared" si="24"/>
        <v>5173.04</v>
      </c>
      <c r="N36" s="135">
        <f t="shared" si="24"/>
        <v>3671.7</v>
      </c>
      <c r="O36" s="135">
        <f t="shared" si="24"/>
        <v>8844.74</v>
      </c>
      <c r="P36" s="135">
        <f t="shared" si="24"/>
        <v>1020.2600000000002</v>
      </c>
    </row>
    <row r="37" spans="1:16" x14ac:dyDescent="0.2">
      <c r="A37" s="91"/>
      <c r="C37" s="138"/>
      <c r="D37" s="138"/>
      <c r="E37" s="138"/>
      <c r="F37" s="107"/>
      <c r="G37" s="138"/>
      <c r="H37" s="136"/>
      <c r="I37" s="138"/>
      <c r="J37" s="139"/>
      <c r="K37" s="101"/>
      <c r="L37" s="139"/>
      <c r="M37" s="138"/>
      <c r="N37" s="138"/>
      <c r="O37" s="140"/>
      <c r="P37" s="140"/>
    </row>
    <row r="38" spans="1:16" x14ac:dyDescent="0.2">
      <c r="A38" s="91"/>
      <c r="C38" s="91"/>
      <c r="D38" s="91"/>
      <c r="E38" s="153"/>
      <c r="F38" s="129"/>
      <c r="G38" s="91"/>
      <c r="H38" s="107"/>
      <c r="I38" s="46"/>
      <c r="K38" s="107"/>
      <c r="M38" s="91"/>
      <c r="N38" s="91"/>
      <c r="O38" s="37"/>
      <c r="P38" s="37"/>
    </row>
    <row r="39" spans="1:16" ht="13.5" thickBot="1" x14ac:dyDescent="0.25">
      <c r="A39" s="91"/>
      <c r="B39" s="141" t="s">
        <v>103</v>
      </c>
      <c r="C39" s="142">
        <f>SUM(C6+C14+C18+C28+C31+C36)</f>
        <v>587061</v>
      </c>
      <c r="D39" s="142">
        <f>SUM(D6+D14+D18+D28+D31+D36)</f>
        <v>58718</v>
      </c>
      <c r="E39" s="154">
        <f>SUM(E6+E14+E18+E28+E31+E36)</f>
        <v>645779</v>
      </c>
      <c r="F39" s="143">
        <f>SUM(F6+F14+F18+F28+F31+F36)</f>
        <v>587061</v>
      </c>
      <c r="G39" s="142">
        <f>SUM(G6+G14+G18+G21+G28+G31+G36)</f>
        <v>138</v>
      </c>
      <c r="H39" s="143">
        <f>SUM(H6+H14+H18+H21+H28+H31+H36)</f>
        <v>587199</v>
      </c>
      <c r="I39" s="142">
        <f>SUM(I6+I14+I18+I21+I28+I31+I36)</f>
        <v>0</v>
      </c>
      <c r="J39" s="142">
        <f t="shared" ref="J39:O39" si="25">SUM(J6+J14+J18+J28+J31+J36)</f>
        <v>370757.49</v>
      </c>
      <c r="K39" s="143">
        <f t="shared" si="25"/>
        <v>437338.39999999997</v>
      </c>
      <c r="L39" s="144">
        <f t="shared" si="25"/>
        <v>40669.25</v>
      </c>
      <c r="M39" s="144">
        <f t="shared" si="25"/>
        <v>483180.68999999994</v>
      </c>
      <c r="N39" s="142">
        <f t="shared" si="25"/>
        <v>118426.20210350001</v>
      </c>
      <c r="O39" s="142">
        <f t="shared" si="25"/>
        <v>648129.31210350001</v>
      </c>
      <c r="P39" s="145">
        <f>SUM(P6+P14+P18+P20+P28+P31+P36)</f>
        <v>20408.187896500043</v>
      </c>
    </row>
    <row r="40" spans="1:16" ht="13.5" thickTop="1" x14ac:dyDescent="0.2">
      <c r="A40" s="18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B41" s="5"/>
      <c r="C41" s="146"/>
      <c r="D41" s="146"/>
      <c r="E41" s="146"/>
      <c r="I41" s="147">
        <v>16000</v>
      </c>
    </row>
    <row r="43" spans="1:16" x14ac:dyDescent="0.2">
      <c r="B43" s="5"/>
      <c r="C43" s="146" t="s">
        <v>113</v>
      </c>
      <c r="D43" s="146"/>
      <c r="E43" s="146"/>
      <c r="F43" s="163">
        <f>SUM(G6+G18)</f>
        <v>-17452</v>
      </c>
      <c r="I43" s="148">
        <f>SUM(I39-I41)</f>
        <v>-16000</v>
      </c>
    </row>
    <row r="44" spans="1:16" x14ac:dyDescent="0.2">
      <c r="C44" s="146" t="s">
        <v>104</v>
      </c>
      <c r="D44" s="146"/>
      <c r="F44" s="160">
        <f>C39*0.1</f>
        <v>58706.100000000006</v>
      </c>
    </row>
    <row r="45" spans="1:16" x14ac:dyDescent="0.2">
      <c r="C45" s="146" t="s">
        <v>105</v>
      </c>
      <c r="D45" s="146"/>
      <c r="F45" s="160">
        <f>C39*0.25</f>
        <v>146765.25</v>
      </c>
    </row>
    <row r="47" spans="1:16" ht="15" x14ac:dyDescent="0.25">
      <c r="C47" s="67" t="s">
        <v>43</v>
      </c>
    </row>
    <row r="48" spans="1:16" x14ac:dyDescent="0.2">
      <c r="C48" s="66" t="s">
        <v>49</v>
      </c>
      <c r="F48" s="79" t="s">
        <v>44</v>
      </c>
      <c r="G48" s="79" t="s">
        <v>45</v>
      </c>
      <c r="H48" s="79" t="s">
        <v>47</v>
      </c>
    </row>
    <row r="49" spans="3:11" x14ac:dyDescent="0.2">
      <c r="C49" t="s">
        <v>46</v>
      </c>
      <c r="F49" s="61">
        <v>142510.78</v>
      </c>
      <c r="G49" s="61">
        <v>14804.46</v>
      </c>
      <c r="H49" s="61">
        <f>SUM(F49:G49)</f>
        <v>157315.24</v>
      </c>
      <c r="K49" t="s">
        <v>114</v>
      </c>
    </row>
    <row r="50" spans="3:11" x14ac:dyDescent="0.2">
      <c r="C50" t="s">
        <v>111</v>
      </c>
      <c r="F50" s="68">
        <v>190659.68</v>
      </c>
      <c r="G50" s="68">
        <v>17271.28</v>
      </c>
      <c r="H50" s="68">
        <f t="shared" ref="H50:H84" si="26">SUM(F50:G50)</f>
        <v>207930.96</v>
      </c>
    </row>
    <row r="51" spans="3:11" x14ac:dyDescent="0.2">
      <c r="F51" s="69">
        <f>SUM(F49:F50)</f>
        <v>333170.45999999996</v>
      </c>
      <c r="G51" s="61">
        <f>SUM(G49:G50)</f>
        <v>32075.739999999998</v>
      </c>
      <c r="H51" s="61">
        <f t="shared" si="26"/>
        <v>365246.19999999995</v>
      </c>
      <c r="K51" t="s">
        <v>115</v>
      </c>
    </row>
    <row r="52" spans="3:11" x14ac:dyDescent="0.2">
      <c r="F52" s="61"/>
      <c r="G52" s="61"/>
      <c r="H52" s="61">
        <f t="shared" si="26"/>
        <v>0</v>
      </c>
    </row>
    <row r="53" spans="3:11" x14ac:dyDescent="0.2">
      <c r="C53" t="s">
        <v>48</v>
      </c>
      <c r="F53" s="61"/>
      <c r="G53" s="61"/>
      <c r="H53" s="61">
        <f t="shared" si="26"/>
        <v>0</v>
      </c>
    </row>
    <row r="54" spans="3:11" x14ac:dyDescent="0.2">
      <c r="C54" t="s">
        <v>46</v>
      </c>
      <c r="F54" s="61">
        <v>12402.73</v>
      </c>
      <c r="G54" s="61">
        <v>1213.3699999999999</v>
      </c>
      <c r="H54" s="61">
        <f t="shared" si="26"/>
        <v>13616.099999999999</v>
      </c>
    </row>
    <row r="55" spans="3:11" x14ac:dyDescent="0.2">
      <c r="C55" t="s">
        <v>111</v>
      </c>
      <c r="F55" s="68">
        <v>27431.16</v>
      </c>
      <c r="G55" s="68">
        <v>1335.52</v>
      </c>
      <c r="H55" s="68">
        <f t="shared" si="26"/>
        <v>28766.68</v>
      </c>
    </row>
    <row r="56" spans="3:11" x14ac:dyDescent="0.2">
      <c r="F56" s="69">
        <f>SUM(F54:F55)</f>
        <v>39833.89</v>
      </c>
      <c r="G56" s="61">
        <f>SUM(G54:G55)</f>
        <v>2548.89</v>
      </c>
      <c r="H56" s="61">
        <f t="shared" si="26"/>
        <v>42382.78</v>
      </c>
    </row>
    <row r="57" spans="3:11" x14ac:dyDescent="0.2">
      <c r="F57" s="61"/>
      <c r="G57" s="61"/>
      <c r="H57" s="61">
        <f t="shared" si="26"/>
        <v>0</v>
      </c>
    </row>
    <row r="58" spans="3:11" x14ac:dyDescent="0.2">
      <c r="C58" t="s">
        <v>50</v>
      </c>
      <c r="F58" s="61"/>
      <c r="G58" s="61"/>
      <c r="H58" s="61">
        <f t="shared" si="26"/>
        <v>0</v>
      </c>
    </row>
    <row r="59" spans="3:11" x14ac:dyDescent="0.2">
      <c r="C59" t="s">
        <v>46</v>
      </c>
      <c r="F59" s="61">
        <v>78.14</v>
      </c>
      <c r="G59" s="61">
        <v>4.4800000000000004</v>
      </c>
      <c r="H59" s="61">
        <f t="shared" si="26"/>
        <v>82.62</v>
      </c>
    </row>
    <row r="60" spans="3:11" x14ac:dyDescent="0.2">
      <c r="C60" t="s">
        <v>111</v>
      </c>
      <c r="F60" s="68">
        <v>183.09</v>
      </c>
      <c r="G60" s="68">
        <v>10.09</v>
      </c>
      <c r="H60" s="68">
        <f t="shared" si="26"/>
        <v>193.18</v>
      </c>
    </row>
    <row r="61" spans="3:11" x14ac:dyDescent="0.2">
      <c r="F61" s="69">
        <f>SUM(F59:F60)</f>
        <v>261.23</v>
      </c>
      <c r="G61" s="61">
        <f>SUM(G59:G60)</f>
        <v>14.57</v>
      </c>
      <c r="H61" s="61">
        <f t="shared" si="26"/>
        <v>275.8</v>
      </c>
    </row>
    <row r="62" spans="3:11" x14ac:dyDescent="0.2">
      <c r="F62" s="61"/>
      <c r="G62" s="61"/>
      <c r="H62" s="61">
        <f t="shared" si="26"/>
        <v>0</v>
      </c>
    </row>
    <row r="63" spans="3:11" x14ac:dyDescent="0.2">
      <c r="C63" t="s">
        <v>51</v>
      </c>
      <c r="F63" s="61"/>
      <c r="G63" s="61"/>
      <c r="H63" s="61">
        <f t="shared" si="26"/>
        <v>0</v>
      </c>
    </row>
    <row r="64" spans="3:11" x14ac:dyDescent="0.2">
      <c r="C64" t="s">
        <v>46</v>
      </c>
      <c r="F64" s="61">
        <v>10602.32</v>
      </c>
      <c r="G64" s="61">
        <v>1064.27</v>
      </c>
      <c r="H64" s="61">
        <f t="shared" si="26"/>
        <v>11666.59</v>
      </c>
    </row>
    <row r="65" spans="3:8" x14ac:dyDescent="0.2">
      <c r="C65" t="s">
        <v>111</v>
      </c>
      <c r="F65" s="68">
        <v>14104.49</v>
      </c>
      <c r="G65" s="68">
        <v>1308.4100000000001</v>
      </c>
      <c r="H65" s="68">
        <f t="shared" si="26"/>
        <v>15412.9</v>
      </c>
    </row>
    <row r="66" spans="3:8" x14ac:dyDescent="0.2">
      <c r="F66" s="69">
        <f>SUM(F64:F65)</f>
        <v>24706.809999999998</v>
      </c>
      <c r="G66" s="61">
        <f>SUM(G64:G65)</f>
        <v>2372.6800000000003</v>
      </c>
      <c r="H66" s="61">
        <f t="shared" si="26"/>
        <v>27079.489999999998</v>
      </c>
    </row>
    <row r="67" spans="3:8" x14ac:dyDescent="0.2">
      <c r="F67" s="61"/>
      <c r="G67" s="61"/>
      <c r="H67" s="61">
        <f t="shared" si="26"/>
        <v>0</v>
      </c>
    </row>
    <row r="68" spans="3:8" x14ac:dyDescent="0.2">
      <c r="C68" t="s">
        <v>52</v>
      </c>
      <c r="F68" s="61"/>
      <c r="G68" s="61"/>
      <c r="H68" s="61">
        <f t="shared" si="26"/>
        <v>0</v>
      </c>
    </row>
    <row r="69" spans="3:8" x14ac:dyDescent="0.2">
      <c r="C69" t="s">
        <v>46</v>
      </c>
      <c r="F69" s="61">
        <v>15040.36</v>
      </c>
      <c r="G69" s="61">
        <v>1486.74</v>
      </c>
      <c r="H69" s="61">
        <f t="shared" si="26"/>
        <v>16527.100000000002</v>
      </c>
    </row>
    <row r="70" spans="3:8" x14ac:dyDescent="0.2">
      <c r="C70" t="s">
        <v>111</v>
      </c>
      <c r="F70" s="68">
        <v>20762.650000000001</v>
      </c>
      <c r="G70" s="68">
        <v>1880.23</v>
      </c>
      <c r="H70" s="68">
        <f t="shared" si="26"/>
        <v>22642.880000000001</v>
      </c>
    </row>
    <row r="71" spans="3:8" x14ac:dyDescent="0.2">
      <c r="F71" s="69">
        <f>SUM(F69:F70)</f>
        <v>35803.01</v>
      </c>
      <c r="G71" s="61">
        <f>SUM(G69:G70)</f>
        <v>3366.9700000000003</v>
      </c>
      <c r="H71" s="61">
        <f t="shared" si="26"/>
        <v>39169.980000000003</v>
      </c>
    </row>
    <row r="72" spans="3:8" x14ac:dyDescent="0.2">
      <c r="H72" s="61">
        <f t="shared" si="26"/>
        <v>0</v>
      </c>
    </row>
    <row r="73" spans="3:8" x14ac:dyDescent="0.2">
      <c r="C73" t="s">
        <v>53</v>
      </c>
      <c r="H73" s="61">
        <f t="shared" si="26"/>
        <v>0</v>
      </c>
    </row>
    <row r="74" spans="3:8" x14ac:dyDescent="0.2">
      <c r="C74" t="s">
        <v>46</v>
      </c>
      <c r="F74">
        <v>787.82</v>
      </c>
      <c r="G74">
        <v>79.569999999999993</v>
      </c>
      <c r="H74" s="61">
        <f t="shared" si="26"/>
        <v>867.3900000000001</v>
      </c>
    </row>
    <row r="75" spans="3:8" x14ac:dyDescent="0.2">
      <c r="C75" t="s">
        <v>111</v>
      </c>
      <c r="F75" s="68">
        <v>1086.6500000000001</v>
      </c>
      <c r="G75" s="11">
        <v>99.36</v>
      </c>
      <c r="H75" s="68">
        <f t="shared" si="26"/>
        <v>1186.01</v>
      </c>
    </row>
    <row r="76" spans="3:8" x14ac:dyDescent="0.2">
      <c r="F76" s="69">
        <f>SUM(F74:F75)</f>
        <v>1874.4700000000003</v>
      </c>
      <c r="G76" s="61">
        <f>SUM(G74:G75)</f>
        <v>178.93</v>
      </c>
      <c r="H76" s="61">
        <f t="shared" si="26"/>
        <v>2053.4</v>
      </c>
    </row>
    <row r="77" spans="3:8" x14ac:dyDescent="0.2">
      <c r="F77" s="61"/>
      <c r="G77" s="61"/>
      <c r="H77" s="61">
        <f t="shared" si="26"/>
        <v>0</v>
      </c>
    </row>
    <row r="78" spans="3:8" x14ac:dyDescent="0.2">
      <c r="C78" t="s">
        <v>54</v>
      </c>
      <c r="F78" s="61"/>
      <c r="G78" s="61"/>
      <c r="H78" s="61">
        <f t="shared" si="26"/>
        <v>0</v>
      </c>
    </row>
    <row r="79" spans="3:8" x14ac:dyDescent="0.2">
      <c r="C79" t="s">
        <v>46</v>
      </c>
      <c r="F79" s="61">
        <v>394.88</v>
      </c>
      <c r="G79" s="61">
        <v>32.18</v>
      </c>
      <c r="H79" s="61">
        <f t="shared" si="26"/>
        <v>427.06</v>
      </c>
    </row>
    <row r="80" spans="3:8" x14ac:dyDescent="0.2">
      <c r="C80" t="s">
        <v>111</v>
      </c>
      <c r="F80" s="68">
        <v>1293.6500000000001</v>
      </c>
      <c r="G80" s="68">
        <v>79.290000000000006</v>
      </c>
      <c r="H80" s="68">
        <f t="shared" si="26"/>
        <v>1372.94</v>
      </c>
    </row>
    <row r="81" spans="3:8" x14ac:dyDescent="0.2">
      <c r="F81" s="69">
        <f>SUM(F79:F80)</f>
        <v>1688.5300000000002</v>
      </c>
      <c r="G81" s="61">
        <f>SUM(G79:G80)</f>
        <v>111.47</v>
      </c>
      <c r="H81" s="61">
        <f t="shared" si="26"/>
        <v>1800.0000000000002</v>
      </c>
    </row>
    <row r="82" spans="3:8" x14ac:dyDescent="0.2">
      <c r="F82" s="61"/>
      <c r="G82" s="61"/>
      <c r="H82" s="61">
        <f t="shared" si="26"/>
        <v>0</v>
      </c>
    </row>
    <row r="83" spans="3:8" x14ac:dyDescent="0.2">
      <c r="F83" s="61"/>
      <c r="G83" s="61"/>
      <c r="H83" s="61">
        <f t="shared" si="26"/>
        <v>0</v>
      </c>
    </row>
    <row r="84" spans="3:8" x14ac:dyDescent="0.2">
      <c r="C84" t="s">
        <v>57</v>
      </c>
      <c r="F84" s="61">
        <f>SUM(F49+F54+F59+F64+F69+F74+F79)</f>
        <v>181817.03000000003</v>
      </c>
      <c r="G84" s="61">
        <f>SUM(G49+G54+G59+G64+G69+G74+G79)</f>
        <v>18685.07</v>
      </c>
      <c r="H84" s="61">
        <f t="shared" si="26"/>
        <v>200502.10000000003</v>
      </c>
    </row>
    <row r="86" spans="3:8" x14ac:dyDescent="0.2">
      <c r="F86" s="149"/>
    </row>
  </sheetData>
  <printOptions horizontalCentered="1"/>
  <pageMargins left="0.25" right="0.25" top="0.75" bottom="0.75" header="0.3" footer="0.3"/>
  <pageSetup paperSize="5" scale="78" orientation="landscape" r:id="rId1"/>
  <headerFooter alignWithMargins="0">
    <oddFooter>&amp;RPrepared by: 
Mike Escaname 
HCHHD
07/03/14</oddFooter>
  </headerFooter>
  <rowBreaks count="1" manualBreakCount="1">
    <brk id="39" max="16383" man="1"/>
  </rowBreak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49" r:id="rId4">
          <objectPr defaultSize="0" autoPict="0" r:id="rId5">
            <anchor moveWithCells="1">
              <from>
                <xdr:col>13</xdr:col>
                <xdr:colOff>0</xdr:colOff>
                <xdr:row>46</xdr:row>
                <xdr:rowOff>171450</xdr:rowOff>
              </from>
              <to>
                <xdr:col>14</xdr:col>
                <xdr:colOff>66675</xdr:colOff>
                <xdr:row>49</xdr:row>
                <xdr:rowOff>104775</xdr:rowOff>
              </to>
            </anchor>
          </objectPr>
        </oleObject>
      </mc:Choice>
      <mc:Fallback>
        <oleObject progId="Acrobat Document" dvAspect="DVASPECT_ICON" shapeId="2049" r:id="rId4"/>
      </mc:Fallback>
    </mc:AlternateContent>
    <mc:AlternateContent xmlns:mc="http://schemas.openxmlformats.org/markup-compatibility/2006">
      <mc:Choice Requires="x14">
        <oleObject progId="Acrobat Document" dvAspect="DVASPECT_ICON" shapeId="2050" r:id="rId6">
          <objectPr defaultSize="0" autoPict="0" r:id="rId7">
            <anchor moveWithCells="1">
              <from>
                <xdr:col>13</xdr:col>
                <xdr:colOff>0</xdr:colOff>
                <xdr:row>49</xdr:row>
                <xdr:rowOff>161925</xdr:rowOff>
              </from>
              <to>
                <xdr:col>14</xdr:col>
                <xdr:colOff>66675</xdr:colOff>
                <xdr:row>52</xdr:row>
                <xdr:rowOff>123825</xdr:rowOff>
              </to>
            </anchor>
          </objectPr>
        </oleObject>
      </mc:Choice>
      <mc:Fallback>
        <oleObject progId="Acrobat Document" dvAspect="DVASPECT_ICON" shapeId="205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zoomScaleNormal="100" workbookViewId="0">
      <selection activeCell="K11" sqref="K11"/>
    </sheetView>
  </sheetViews>
  <sheetFormatPr defaultRowHeight="12.75" x14ac:dyDescent="0.2"/>
  <cols>
    <col min="2" max="2" width="8.42578125" customWidth="1"/>
    <col min="4" max="4" width="15.5703125" customWidth="1"/>
    <col min="5" max="5" width="14.28515625" customWidth="1"/>
    <col min="6" max="6" width="13.42578125" customWidth="1"/>
    <col min="7" max="7" width="18.28515625" customWidth="1"/>
    <col min="8" max="8" width="15.140625" customWidth="1"/>
    <col min="9" max="9" width="16.140625" customWidth="1"/>
    <col min="10" max="12" width="16.85546875" customWidth="1"/>
    <col min="13" max="13" width="15.5703125" customWidth="1"/>
    <col min="14" max="14" width="20.42578125" hidden="1" customWidth="1"/>
    <col min="15" max="15" width="0" hidden="1" customWidth="1"/>
  </cols>
  <sheetData>
    <row r="1" spans="1:14" x14ac:dyDescent="0.2">
      <c r="A1" s="81" t="s">
        <v>39</v>
      </c>
    </row>
    <row r="3" spans="1:14" x14ac:dyDescent="0.2">
      <c r="A3" s="1" t="s">
        <v>40</v>
      </c>
    </row>
    <row r="4" spans="1:14" x14ac:dyDescent="0.2">
      <c r="A4" s="2" t="s">
        <v>0</v>
      </c>
      <c r="B4" s="2"/>
      <c r="D4" s="3"/>
      <c r="E4" s="3"/>
    </row>
    <row r="5" spans="1:14" x14ac:dyDescent="0.2">
      <c r="B5" s="4" t="s">
        <v>41</v>
      </c>
      <c r="C5" s="4"/>
      <c r="D5" s="4"/>
      <c r="E5" s="4"/>
      <c r="F5" s="4"/>
      <c r="G5" s="4"/>
      <c r="H5" s="4"/>
      <c r="I5" s="4"/>
      <c r="J5" s="5"/>
      <c r="K5" s="5"/>
    </row>
    <row r="6" spans="1:14" x14ac:dyDescent="0.2">
      <c r="B6" s="6"/>
      <c r="I6" s="62">
        <v>41822</v>
      </c>
      <c r="J6" s="62">
        <v>41822</v>
      </c>
    </row>
    <row r="7" spans="1:14" x14ac:dyDescent="0.2">
      <c r="D7" s="7" t="s">
        <v>1</v>
      </c>
      <c r="E7" s="7" t="s">
        <v>1</v>
      </c>
      <c r="F7" s="7" t="s">
        <v>2</v>
      </c>
      <c r="G7" s="7" t="s">
        <v>3</v>
      </c>
      <c r="H7" s="7" t="s">
        <v>3</v>
      </c>
      <c r="I7" s="7" t="s">
        <v>4</v>
      </c>
      <c r="J7" s="7" t="s">
        <v>4</v>
      </c>
      <c r="K7" s="8" t="s">
        <v>5</v>
      </c>
      <c r="L7" s="8" t="s">
        <v>5</v>
      </c>
    </row>
    <row r="8" spans="1:14" x14ac:dyDescent="0.2">
      <c r="D8" s="9" t="s">
        <v>6</v>
      </c>
      <c r="E8" s="9" t="s">
        <v>6</v>
      </c>
      <c r="F8" s="9" t="s">
        <v>7</v>
      </c>
      <c r="G8" s="9" t="s">
        <v>8</v>
      </c>
      <c r="H8" s="9" t="s">
        <v>8</v>
      </c>
      <c r="I8" s="9" t="s">
        <v>9</v>
      </c>
      <c r="J8" s="9" t="s">
        <v>9</v>
      </c>
      <c r="K8" s="10" t="s">
        <v>10</v>
      </c>
      <c r="L8" s="10" t="s">
        <v>10</v>
      </c>
    </row>
    <row r="9" spans="1:14" x14ac:dyDescent="0.2">
      <c r="A9" s="11"/>
      <c r="B9" s="11"/>
      <c r="C9" s="12"/>
      <c r="D9" s="13" t="s">
        <v>11</v>
      </c>
      <c r="E9" s="77" t="s">
        <v>12</v>
      </c>
      <c r="F9" s="14"/>
      <c r="G9" s="13" t="s">
        <v>11</v>
      </c>
      <c r="H9" s="77" t="s">
        <v>12</v>
      </c>
      <c r="I9" s="13" t="s">
        <v>11</v>
      </c>
      <c r="J9" s="77" t="s">
        <v>12</v>
      </c>
      <c r="K9" s="13" t="s">
        <v>11</v>
      </c>
      <c r="L9" s="75" t="s">
        <v>12</v>
      </c>
      <c r="M9" s="15"/>
    </row>
    <row r="10" spans="1:14" x14ac:dyDescent="0.2">
      <c r="A10" s="15"/>
      <c r="B10" s="15"/>
      <c r="C10" s="12"/>
      <c r="D10" s="16">
        <v>0.9</v>
      </c>
      <c r="E10" s="78">
        <v>0.1</v>
      </c>
      <c r="F10" s="17"/>
      <c r="G10" s="16">
        <v>0.9</v>
      </c>
      <c r="H10" s="78">
        <v>0.1</v>
      </c>
      <c r="I10" s="16">
        <v>0.9</v>
      </c>
      <c r="J10" s="78">
        <v>0.1</v>
      </c>
      <c r="K10" s="16">
        <v>0.9</v>
      </c>
      <c r="L10" s="76">
        <v>0.1</v>
      </c>
      <c r="M10" s="15"/>
    </row>
    <row r="11" spans="1:14" x14ac:dyDescent="0.2">
      <c r="A11" s="18" t="s">
        <v>13</v>
      </c>
      <c r="B11" s="15"/>
      <c r="C11" s="19">
        <v>113</v>
      </c>
      <c r="D11" s="20">
        <v>15198.67</v>
      </c>
      <c r="E11" s="21"/>
      <c r="F11" s="22">
        <v>5.5</v>
      </c>
      <c r="G11" s="23">
        <f>(D11*F11)</f>
        <v>83592.684999999998</v>
      </c>
      <c r="H11" s="24"/>
      <c r="I11" s="23">
        <f>SUM('PHEP FY 14'!C5+'PHEP FY 14'!G5-'PHEP FY 14'!K5)</f>
        <v>84544.540000000037</v>
      </c>
      <c r="J11" s="25">
        <f>SUM(H38-E51)</f>
        <v>14418.260000000002</v>
      </c>
      <c r="K11" s="70">
        <f>I11-G11</f>
        <v>951.85500000003958</v>
      </c>
      <c r="L11" s="71">
        <f>J11-H11</f>
        <v>14418.260000000002</v>
      </c>
      <c r="M11" s="15"/>
    </row>
    <row r="12" spans="1:14" x14ac:dyDescent="0.2">
      <c r="A12" s="17" t="s">
        <v>14</v>
      </c>
      <c r="C12" s="26"/>
      <c r="D12" s="27">
        <f t="shared" ref="D12:H12" si="0">SUM(D11)</f>
        <v>15198.67</v>
      </c>
      <c r="E12" s="27">
        <f t="shared" si="0"/>
        <v>0</v>
      </c>
      <c r="F12" s="27">
        <f t="shared" si="0"/>
        <v>5.5</v>
      </c>
      <c r="G12" s="27">
        <f t="shared" si="0"/>
        <v>83592.684999999998</v>
      </c>
      <c r="H12" s="27">
        <f t="shared" si="0"/>
        <v>0</v>
      </c>
      <c r="I12" s="27">
        <f>SUM(I11)</f>
        <v>84544.540000000037</v>
      </c>
      <c r="J12" s="27">
        <f>SUM(J11)</f>
        <v>14418.260000000002</v>
      </c>
      <c r="K12" s="27">
        <f>SUM(K11)</f>
        <v>951.85500000003958</v>
      </c>
      <c r="L12" s="72">
        <f>SUM(L11:L11)</f>
        <v>14418.260000000002</v>
      </c>
      <c r="M12" s="28"/>
    </row>
    <row r="13" spans="1:14" x14ac:dyDescent="0.2">
      <c r="A13" s="17"/>
      <c r="C13" s="29"/>
      <c r="D13" s="30"/>
      <c r="E13" s="31"/>
      <c r="F13" s="22"/>
      <c r="G13" s="25"/>
      <c r="H13" s="25"/>
      <c r="I13" s="25"/>
      <c r="J13" s="25"/>
      <c r="K13" s="25"/>
      <c r="L13" s="73"/>
      <c r="M13" s="28"/>
    </row>
    <row r="14" spans="1:14" x14ac:dyDescent="0.2">
      <c r="A14" s="18" t="s">
        <v>15</v>
      </c>
      <c r="B14" s="15"/>
      <c r="C14" s="19">
        <v>211</v>
      </c>
      <c r="D14" s="20">
        <v>2089.9899999999998</v>
      </c>
      <c r="E14" s="21"/>
      <c r="F14" s="22">
        <v>5.5</v>
      </c>
      <c r="G14" s="23">
        <f t="shared" ref="G14:G19" si="1">(D14*F14)</f>
        <v>11494.945</v>
      </c>
      <c r="H14" s="24"/>
      <c r="I14" s="23">
        <f>SUM('PHEP FY 14'!C8+'PHEP FY 14'!G8-'PHEP FY 14'!K8)</f>
        <v>14896.11</v>
      </c>
      <c r="J14" s="30">
        <f>SUM(H39-E56)</f>
        <v>369.11000000000013</v>
      </c>
      <c r="K14" s="74">
        <f>I14-G14</f>
        <v>3401.1650000000009</v>
      </c>
      <c r="L14" s="71">
        <f>J14-H14</f>
        <v>369.11000000000013</v>
      </c>
      <c r="M14" s="28"/>
      <c r="N14" s="32">
        <f>SUM(G12:G19)</f>
        <v>111661.1121035</v>
      </c>
    </row>
    <row r="15" spans="1:14" x14ac:dyDescent="0.2">
      <c r="A15" s="18" t="s">
        <v>16</v>
      </c>
      <c r="B15" s="15"/>
      <c r="C15" s="19">
        <v>212</v>
      </c>
      <c r="D15" s="20">
        <v>31.03</v>
      </c>
      <c r="E15" s="33"/>
      <c r="F15" s="29">
        <v>2.5</v>
      </c>
      <c r="G15" s="23">
        <f t="shared" si="1"/>
        <v>77.575000000000003</v>
      </c>
      <c r="H15" s="24"/>
      <c r="I15" s="23">
        <f>SUM('PHEP FY 14'!C9+'PHEP FY 14'!G9-'PHEP FY 14'!K9)</f>
        <v>108.76999999999998</v>
      </c>
      <c r="J15" s="30">
        <f>SUM(H40-E61)</f>
        <v>4.43</v>
      </c>
      <c r="K15" s="74">
        <f t="shared" ref="K15:L19" si="2">I15-G15</f>
        <v>31.194999999999979</v>
      </c>
      <c r="L15" s="71">
        <f t="shared" si="2"/>
        <v>4.43</v>
      </c>
      <c r="M15" s="15"/>
      <c r="N15" s="32">
        <f>SUM(N14:N14)</f>
        <v>111661.1121035</v>
      </c>
    </row>
    <row r="16" spans="1:14" x14ac:dyDescent="0.2">
      <c r="A16" s="18" t="s">
        <v>17</v>
      </c>
      <c r="B16" s="15"/>
      <c r="C16" s="19">
        <v>220</v>
      </c>
      <c r="D16" s="20">
        <f>D11*0.0765</f>
        <v>1162.698255</v>
      </c>
      <c r="E16" s="21"/>
      <c r="F16" s="22">
        <v>5.5</v>
      </c>
      <c r="G16" s="23">
        <f t="shared" si="1"/>
        <v>6394.8404025</v>
      </c>
      <c r="H16" s="24"/>
      <c r="I16" s="23">
        <f>SUM('PHEP FY 14'!C10+'PHEP FY 14'!G10-'PHEP FY 14'!K10)</f>
        <v>7772.1900000000023</v>
      </c>
      <c r="J16" s="30">
        <f>SUM(H41-E66)</f>
        <v>1185.3199999999997</v>
      </c>
      <c r="K16" s="23">
        <f t="shared" si="2"/>
        <v>1377.3495975000023</v>
      </c>
      <c r="L16" s="71">
        <f t="shared" si="2"/>
        <v>1185.3199999999997</v>
      </c>
      <c r="M16" s="28"/>
      <c r="N16">
        <f>N14/N15</f>
        <v>1</v>
      </c>
    </row>
    <row r="17" spans="1:16" x14ac:dyDescent="0.2">
      <c r="A17" s="18" t="s">
        <v>18</v>
      </c>
      <c r="B17" s="15"/>
      <c r="C17" s="19">
        <v>230</v>
      </c>
      <c r="D17" s="34">
        <f>D11*0.1089</f>
        <v>1655.1351629999999</v>
      </c>
      <c r="E17" s="35"/>
      <c r="F17" s="22">
        <v>5.5</v>
      </c>
      <c r="G17" s="23">
        <f t="shared" si="1"/>
        <v>9103.2433965</v>
      </c>
      <c r="H17" s="24"/>
      <c r="I17" s="23">
        <f>SUM('PHEP FY 14'!C11+'PHEP FY 14'!G11-'PHEP FY 14'!K11)</f>
        <v>10422.049999999996</v>
      </c>
      <c r="J17" s="30">
        <f>SUM(H42-E71)</f>
        <v>1432.0299999999997</v>
      </c>
      <c r="K17" s="74">
        <f t="shared" si="2"/>
        <v>1318.8066034999956</v>
      </c>
      <c r="L17" s="71">
        <f t="shared" si="2"/>
        <v>1432.0299999999997</v>
      </c>
      <c r="M17" s="28"/>
    </row>
    <row r="18" spans="1:16" x14ac:dyDescent="0.2">
      <c r="A18" s="18" t="s">
        <v>19</v>
      </c>
      <c r="B18" s="15"/>
      <c r="C18" s="19">
        <v>250</v>
      </c>
      <c r="D18" s="34">
        <f>D11*0.57%</f>
        <v>86.632418999999985</v>
      </c>
      <c r="E18" s="36"/>
      <c r="F18" s="22">
        <v>5.5</v>
      </c>
      <c r="G18" s="23">
        <f t="shared" si="1"/>
        <v>476.47830449999992</v>
      </c>
      <c r="H18" s="24"/>
      <c r="I18" s="23">
        <f>SUM('PHEP FY 14'!C12+'PHEP FY 14'!G12-'PHEP FY 14'!K12)</f>
        <v>575.52999999999975</v>
      </c>
      <c r="J18" s="30">
        <f>SUM(H43-E76)</f>
        <v>287.07</v>
      </c>
      <c r="K18" s="23">
        <f t="shared" si="2"/>
        <v>99.051695499999823</v>
      </c>
      <c r="L18" s="71">
        <f t="shared" si="2"/>
        <v>287.07</v>
      </c>
      <c r="M18" s="15"/>
      <c r="N18" s="32"/>
    </row>
    <row r="19" spans="1:16" x14ac:dyDescent="0.2">
      <c r="A19" s="18" t="s">
        <v>20</v>
      </c>
      <c r="B19" s="37"/>
      <c r="C19" s="12">
        <v>260</v>
      </c>
      <c r="D19" s="38">
        <v>94.79</v>
      </c>
      <c r="E19" s="39"/>
      <c r="F19" s="29">
        <v>5.5</v>
      </c>
      <c r="G19" s="23">
        <f t="shared" si="1"/>
        <v>521.34500000000003</v>
      </c>
      <c r="H19" s="40"/>
      <c r="I19" s="23">
        <f>SUM('PHEP FY 14'!C13+'PHEP FY 14'!G13-'PHEP FY 14'!K13)</f>
        <v>1261.4699999999998</v>
      </c>
      <c r="J19" s="30">
        <f>SUM(H44-E81)</f>
        <v>352.53</v>
      </c>
      <c r="K19" s="20">
        <f t="shared" si="2"/>
        <v>740.12499999999977</v>
      </c>
      <c r="L19" s="71">
        <f t="shared" si="2"/>
        <v>352.53</v>
      </c>
      <c r="M19" s="28"/>
      <c r="N19" s="32"/>
    </row>
    <row r="20" spans="1:16" x14ac:dyDescent="0.2">
      <c r="A20" s="17" t="s">
        <v>21</v>
      </c>
      <c r="B20" s="15"/>
      <c r="C20" s="41"/>
      <c r="D20" s="42">
        <f t="shared" ref="D20:H20" si="3">SUM(D14:D19)</f>
        <v>5120.2758369999992</v>
      </c>
      <c r="E20" s="42">
        <f t="shared" si="3"/>
        <v>0</v>
      </c>
      <c r="F20" s="42">
        <f t="shared" si="3"/>
        <v>30</v>
      </c>
      <c r="G20" s="42">
        <f t="shared" si="3"/>
        <v>28068.427103500006</v>
      </c>
      <c r="H20" s="42">
        <f t="shared" si="3"/>
        <v>0</v>
      </c>
      <c r="I20" s="42">
        <f>SUM(I14:I19)</f>
        <v>35036.119999999995</v>
      </c>
      <c r="J20" s="42">
        <f>SUM(J14:J19)</f>
        <v>3630.49</v>
      </c>
      <c r="K20" s="161">
        <f>SUM(K14:K19)</f>
        <v>6967.6928964999988</v>
      </c>
      <c r="L20" s="72">
        <f>SUM(L14:L19)</f>
        <v>3630.49</v>
      </c>
      <c r="M20" s="28"/>
      <c r="N20" s="32"/>
    </row>
    <row r="21" spans="1:16" x14ac:dyDescent="0.2">
      <c r="A21" s="18"/>
      <c r="B21" s="15"/>
      <c r="C21" s="43"/>
      <c r="D21" s="43"/>
      <c r="E21" s="43"/>
      <c r="F21" s="43"/>
      <c r="G21" s="43"/>
      <c r="H21" s="43"/>
      <c r="I21" s="43"/>
      <c r="J21" s="43"/>
      <c r="K21" s="43"/>
      <c r="L21" s="44"/>
      <c r="M21" s="15"/>
    </row>
    <row r="22" spans="1:16" x14ac:dyDescent="0.2">
      <c r="A22" s="45"/>
      <c r="B22" s="11"/>
      <c r="C22" s="46"/>
      <c r="D22" s="47">
        <f>SUM(D12+D20)</f>
        <v>20318.945836999999</v>
      </c>
      <c r="E22" s="47">
        <f t="shared" ref="E22:L22" si="4">SUM(E12+E20)</f>
        <v>0</v>
      </c>
      <c r="F22" s="47">
        <f t="shared" si="4"/>
        <v>35.5</v>
      </c>
      <c r="G22" s="47">
        <f t="shared" si="4"/>
        <v>111661.1121035</v>
      </c>
      <c r="H22" s="47">
        <f t="shared" si="4"/>
        <v>0</v>
      </c>
      <c r="I22" s="47">
        <f t="shared" si="4"/>
        <v>119580.66000000003</v>
      </c>
      <c r="J22" s="47">
        <f t="shared" si="4"/>
        <v>18048.75</v>
      </c>
      <c r="K22" s="47">
        <f t="shared" si="4"/>
        <v>7919.5478965000384</v>
      </c>
      <c r="L22" s="47">
        <f t="shared" si="4"/>
        <v>18048.75</v>
      </c>
      <c r="M22" s="48"/>
    </row>
    <row r="23" spans="1:16" ht="13.5" thickBot="1" x14ac:dyDescent="0.25">
      <c r="L23" s="49"/>
      <c r="M23" s="15"/>
      <c r="N23" s="50"/>
    </row>
    <row r="24" spans="1:16" ht="13.5" thickTop="1" x14ac:dyDescent="0.2">
      <c r="A24" t="s">
        <v>22</v>
      </c>
      <c r="F24" t="s">
        <v>65</v>
      </c>
      <c r="H24" s="164" t="s">
        <v>23</v>
      </c>
      <c r="I24" s="164"/>
      <c r="K24" s="51" t="s">
        <v>24</v>
      </c>
      <c r="M24" s="15"/>
    </row>
    <row r="25" spans="1:16" x14ac:dyDescent="0.2">
      <c r="F25" s="52">
        <v>1</v>
      </c>
      <c r="G25" t="s">
        <v>25</v>
      </c>
      <c r="H25" s="53">
        <v>41806</v>
      </c>
      <c r="I25" s="53">
        <v>41819</v>
      </c>
      <c r="K25" s="53">
        <v>41831</v>
      </c>
      <c r="N25" s="53"/>
      <c r="P25" s="53"/>
    </row>
    <row r="26" spans="1:16" x14ac:dyDescent="0.2">
      <c r="F26" s="52">
        <v>2</v>
      </c>
      <c r="G26" t="s">
        <v>26</v>
      </c>
      <c r="H26" s="53">
        <v>41820</v>
      </c>
      <c r="I26" s="53">
        <v>41833</v>
      </c>
      <c r="K26" s="53">
        <v>41845</v>
      </c>
      <c r="N26" s="53"/>
      <c r="P26" s="53"/>
    </row>
    <row r="27" spans="1:16" x14ac:dyDescent="0.2">
      <c r="F27" s="52">
        <v>3</v>
      </c>
      <c r="G27" t="s">
        <v>27</v>
      </c>
      <c r="H27" s="53">
        <v>41834</v>
      </c>
      <c r="I27" s="53">
        <v>41847</v>
      </c>
      <c r="K27" s="53">
        <v>41859</v>
      </c>
    </row>
    <row r="28" spans="1:16" x14ac:dyDescent="0.2">
      <c r="A28" s="54"/>
      <c r="B28" s="54"/>
      <c r="C28" s="54"/>
      <c r="D28" s="54"/>
      <c r="E28" s="54"/>
      <c r="F28" s="52">
        <v>4</v>
      </c>
      <c r="G28" t="s">
        <v>28</v>
      </c>
      <c r="H28" s="53">
        <v>41848</v>
      </c>
      <c r="I28" s="53">
        <v>41861</v>
      </c>
      <c r="K28" s="53">
        <v>41873</v>
      </c>
    </row>
    <row r="29" spans="1:16" x14ac:dyDescent="0.2">
      <c r="A29" s="54"/>
      <c r="B29" s="54"/>
      <c r="C29" s="54"/>
      <c r="D29" s="54"/>
      <c r="E29" s="54"/>
      <c r="F29" s="52">
        <v>5</v>
      </c>
      <c r="G29" t="s">
        <v>29</v>
      </c>
      <c r="H29" s="53">
        <v>41862</v>
      </c>
      <c r="I29" s="53">
        <v>41875</v>
      </c>
      <c r="K29" s="53">
        <v>41887</v>
      </c>
    </row>
    <row r="30" spans="1:16" x14ac:dyDescent="0.2">
      <c r="A30" s="54"/>
      <c r="B30" s="54"/>
      <c r="C30" s="54"/>
      <c r="D30" s="54"/>
      <c r="E30" s="54"/>
      <c r="F30" s="52"/>
      <c r="G30" t="s">
        <v>30</v>
      </c>
      <c r="H30" s="53">
        <v>41876</v>
      </c>
      <c r="I30" s="53">
        <v>41880</v>
      </c>
      <c r="K30" s="53">
        <v>41901</v>
      </c>
      <c r="L30" s="65" t="s">
        <v>42</v>
      </c>
    </row>
    <row r="31" spans="1:16" x14ac:dyDescent="0.2">
      <c r="F31" s="52"/>
    </row>
    <row r="32" spans="1:16" x14ac:dyDescent="0.2">
      <c r="F32" s="52"/>
    </row>
    <row r="33" spans="1:11" x14ac:dyDescent="0.2">
      <c r="F33" s="52"/>
      <c r="H33" s="53"/>
      <c r="I33" s="53"/>
      <c r="K33" s="53"/>
    </row>
    <row r="34" spans="1:11" x14ac:dyDescent="0.2">
      <c r="A34" s="80" t="s">
        <v>56</v>
      </c>
      <c r="F34" s="52"/>
      <c r="H34" s="53"/>
      <c r="I34" s="53"/>
      <c r="K34" s="53"/>
    </row>
    <row r="35" spans="1:11" x14ac:dyDescent="0.2">
      <c r="A35" s="56"/>
      <c r="B35" s="55"/>
      <c r="C35" s="57"/>
      <c r="D35" s="55"/>
      <c r="E35" s="55"/>
      <c r="F35" s="55"/>
      <c r="G35" s="55"/>
      <c r="H35" s="55"/>
      <c r="I35" s="55"/>
      <c r="J35" s="55"/>
      <c r="K35" s="55"/>
    </row>
    <row r="36" spans="1:11" x14ac:dyDescent="0.2">
      <c r="A36" s="5" t="s">
        <v>55</v>
      </c>
      <c r="G36" s="55"/>
      <c r="H36" s="55"/>
      <c r="I36" s="55"/>
      <c r="J36" s="55"/>
      <c r="K36" s="55"/>
    </row>
    <row r="37" spans="1:11" x14ac:dyDescent="0.2">
      <c r="A37" s="56"/>
      <c r="B37" s="55"/>
      <c r="C37" s="57"/>
      <c r="D37" s="55"/>
      <c r="E37" s="55"/>
      <c r="F37" s="55"/>
      <c r="G37" s="58" t="s">
        <v>11</v>
      </c>
      <c r="H37" s="58" t="s">
        <v>12</v>
      </c>
      <c r="I37" s="58" t="s">
        <v>31</v>
      </c>
      <c r="J37" s="55"/>
      <c r="K37" s="55"/>
    </row>
    <row r="38" spans="1:11" ht="14.25" x14ac:dyDescent="0.2">
      <c r="A38" s="59" t="s">
        <v>32</v>
      </c>
      <c r="B38" s="55"/>
      <c r="C38" s="57"/>
      <c r="D38" s="55"/>
      <c r="E38" s="63" t="s">
        <v>58</v>
      </c>
      <c r="F38" s="55"/>
      <c r="G38" s="60">
        <v>435015</v>
      </c>
      <c r="H38" s="60">
        <v>46494</v>
      </c>
      <c r="I38" s="60">
        <f>SUM(G38:H38)</f>
        <v>481509</v>
      </c>
      <c r="J38" s="60"/>
      <c r="K38" s="55"/>
    </row>
    <row r="39" spans="1:11" ht="14.25" x14ac:dyDescent="0.2">
      <c r="A39" s="59" t="s">
        <v>33</v>
      </c>
      <c r="B39" s="55"/>
      <c r="C39" s="57"/>
      <c r="D39" s="55"/>
      <c r="E39" s="63" t="s">
        <v>59</v>
      </c>
      <c r="F39" s="55"/>
      <c r="G39" s="60">
        <v>41640</v>
      </c>
      <c r="H39" s="60">
        <v>2918</v>
      </c>
      <c r="I39" s="60">
        <f t="shared" ref="I39:I44" si="5">SUM(G39:H39)</f>
        <v>44558</v>
      </c>
      <c r="J39" s="60"/>
      <c r="K39" s="55"/>
    </row>
    <row r="40" spans="1:11" ht="14.25" x14ac:dyDescent="0.2">
      <c r="A40" s="59" t="s">
        <v>34</v>
      </c>
      <c r="B40" s="55"/>
      <c r="C40" s="55"/>
      <c r="D40" s="55"/>
      <c r="E40" s="63" t="s">
        <v>60</v>
      </c>
      <c r="F40" s="55"/>
      <c r="G40" s="60">
        <v>270</v>
      </c>
      <c r="H40" s="60">
        <v>19</v>
      </c>
      <c r="I40" s="60">
        <f t="shared" si="5"/>
        <v>289</v>
      </c>
      <c r="J40" s="60"/>
      <c r="K40" s="55"/>
    </row>
    <row r="41" spans="1:11" ht="14.25" x14ac:dyDescent="0.2">
      <c r="A41" s="59" t="s">
        <v>35</v>
      </c>
      <c r="B41" s="55"/>
      <c r="C41" s="55"/>
      <c r="D41" s="55"/>
      <c r="E41" s="63" t="s">
        <v>61</v>
      </c>
      <c r="F41" s="55"/>
      <c r="G41" s="60">
        <v>33279</v>
      </c>
      <c r="H41" s="60">
        <v>3558</v>
      </c>
      <c r="I41" s="60">
        <f t="shared" si="5"/>
        <v>36837</v>
      </c>
      <c r="J41" s="60"/>
      <c r="K41" s="55"/>
    </row>
    <row r="42" spans="1:11" ht="14.25" x14ac:dyDescent="0.2">
      <c r="A42" s="59" t="s">
        <v>36</v>
      </c>
      <c r="B42" s="55"/>
      <c r="C42" s="55"/>
      <c r="D42" s="55"/>
      <c r="E42" s="63" t="s">
        <v>62</v>
      </c>
      <c r="F42" s="55"/>
      <c r="G42" s="60">
        <v>44894</v>
      </c>
      <c r="H42" s="60">
        <v>4799</v>
      </c>
      <c r="I42" s="60">
        <f t="shared" si="5"/>
        <v>49693</v>
      </c>
      <c r="J42" s="60"/>
      <c r="K42" s="55"/>
    </row>
    <row r="43" spans="1:11" ht="14.25" x14ac:dyDescent="0.2">
      <c r="A43" s="59" t="s">
        <v>37</v>
      </c>
      <c r="B43" s="55"/>
      <c r="C43" s="55"/>
      <c r="D43" s="55"/>
      <c r="E43" s="63" t="s">
        <v>63</v>
      </c>
      <c r="F43" s="55"/>
      <c r="G43" s="60">
        <v>4350</v>
      </c>
      <c r="H43" s="60">
        <v>466</v>
      </c>
      <c r="I43" s="60">
        <f t="shared" si="5"/>
        <v>4816</v>
      </c>
      <c r="J43" s="60"/>
      <c r="K43" s="55"/>
    </row>
    <row r="44" spans="1:11" ht="14.25" x14ac:dyDescent="0.2">
      <c r="A44" s="59" t="s">
        <v>38</v>
      </c>
      <c r="B44" s="55"/>
      <c r="C44" s="55"/>
      <c r="D44" s="60"/>
      <c r="E44" s="63" t="s">
        <v>64</v>
      </c>
      <c r="F44" s="55"/>
      <c r="G44" s="60">
        <v>4350</v>
      </c>
      <c r="H44" s="60">
        <v>464</v>
      </c>
      <c r="I44" s="60">
        <f t="shared" si="5"/>
        <v>4814</v>
      </c>
      <c r="J44" s="60"/>
      <c r="K44" s="55"/>
    </row>
    <row r="45" spans="1:11" x14ac:dyDescent="0.2">
      <c r="A45" s="55"/>
      <c r="B45" s="55"/>
      <c r="C45" s="55"/>
      <c r="D45" s="60"/>
      <c r="E45" s="60"/>
      <c r="F45" s="55"/>
      <c r="G45" s="60"/>
      <c r="H45" s="60"/>
      <c r="I45" s="60"/>
      <c r="J45" s="60"/>
      <c r="K45" s="55"/>
    </row>
    <row r="46" spans="1:11" x14ac:dyDescent="0.2">
      <c r="A46" s="55"/>
      <c r="B46" s="55"/>
      <c r="C46" s="55"/>
      <c r="D46" s="55"/>
      <c r="E46" s="55"/>
      <c r="F46" s="55"/>
      <c r="G46" s="60"/>
      <c r="H46" s="60"/>
      <c r="I46" s="60"/>
      <c r="J46" s="60"/>
      <c r="K46" s="55"/>
    </row>
    <row r="47" spans="1:11" ht="15" x14ac:dyDescent="0.25">
      <c r="A47" s="67" t="s">
        <v>43</v>
      </c>
    </row>
    <row r="48" spans="1:11" x14ac:dyDescent="0.2">
      <c r="A48" s="66" t="s">
        <v>49</v>
      </c>
      <c r="D48" s="64" t="s">
        <v>44</v>
      </c>
      <c r="E48" s="64" t="s">
        <v>45</v>
      </c>
      <c r="F48" s="64" t="s">
        <v>47</v>
      </c>
    </row>
    <row r="49" spans="1:9" x14ac:dyDescent="0.2">
      <c r="A49" t="s">
        <v>46</v>
      </c>
      <c r="D49" s="61">
        <v>142510.78</v>
      </c>
      <c r="E49" s="61">
        <v>14804.46</v>
      </c>
      <c r="F49" s="61">
        <f>SUM(D49:E49)</f>
        <v>157315.24</v>
      </c>
      <c r="G49" s="61"/>
      <c r="H49" s="61"/>
      <c r="I49" s="61"/>
    </row>
    <row r="50" spans="1:9" x14ac:dyDescent="0.2">
      <c r="A50" t="s">
        <v>66</v>
      </c>
      <c r="D50" s="68">
        <v>190659.68</v>
      </c>
      <c r="E50" s="68">
        <v>17271.28</v>
      </c>
      <c r="F50" s="68">
        <f t="shared" ref="F50:F84" si="6">SUM(D50:E50)</f>
        <v>207930.96</v>
      </c>
      <c r="G50" s="61"/>
      <c r="H50" s="61"/>
      <c r="I50" s="61"/>
    </row>
    <row r="51" spans="1:9" x14ac:dyDescent="0.2">
      <c r="D51" s="69">
        <f>SUM(D49:D50)</f>
        <v>333170.45999999996</v>
      </c>
      <c r="E51" s="61">
        <f>SUM(E49:E50)</f>
        <v>32075.739999999998</v>
      </c>
      <c r="F51" s="61">
        <f t="shared" si="6"/>
        <v>365246.19999999995</v>
      </c>
      <c r="G51" s="61"/>
      <c r="H51" s="61"/>
      <c r="I51" s="61"/>
    </row>
    <row r="52" spans="1:9" x14ac:dyDescent="0.2">
      <c r="D52" s="61"/>
      <c r="E52" s="61"/>
      <c r="F52" s="61">
        <f t="shared" si="6"/>
        <v>0</v>
      </c>
      <c r="G52" s="61"/>
      <c r="H52" s="61"/>
      <c r="I52" s="61"/>
    </row>
    <row r="53" spans="1:9" x14ac:dyDescent="0.2">
      <c r="A53" t="s">
        <v>48</v>
      </c>
      <c r="D53" s="61"/>
      <c r="E53" s="61"/>
      <c r="F53" s="61">
        <f t="shared" si="6"/>
        <v>0</v>
      </c>
      <c r="G53" s="61"/>
      <c r="H53" s="61"/>
      <c r="I53" s="61"/>
    </row>
    <row r="54" spans="1:9" x14ac:dyDescent="0.2">
      <c r="A54" t="s">
        <v>46</v>
      </c>
      <c r="D54" s="61">
        <v>12402.73</v>
      </c>
      <c r="E54" s="61">
        <v>1213.3699999999999</v>
      </c>
      <c r="F54" s="61">
        <f t="shared" si="6"/>
        <v>13616.099999999999</v>
      </c>
      <c r="G54" s="61"/>
      <c r="H54" s="61"/>
      <c r="I54" s="61"/>
    </row>
    <row r="55" spans="1:9" x14ac:dyDescent="0.2">
      <c r="A55" t="s">
        <v>66</v>
      </c>
      <c r="D55" s="68">
        <v>27431.16</v>
      </c>
      <c r="E55" s="68">
        <v>1335.52</v>
      </c>
      <c r="F55" s="68">
        <f t="shared" si="6"/>
        <v>28766.68</v>
      </c>
      <c r="G55" s="61"/>
      <c r="H55" s="61"/>
      <c r="I55" s="61"/>
    </row>
    <row r="56" spans="1:9" x14ac:dyDescent="0.2">
      <c r="D56" s="69">
        <f>SUM(D54:D55)</f>
        <v>39833.89</v>
      </c>
      <c r="E56" s="61">
        <f>SUM(E54:E55)</f>
        <v>2548.89</v>
      </c>
      <c r="F56" s="61">
        <f t="shared" si="6"/>
        <v>42382.78</v>
      </c>
      <c r="G56" s="61"/>
      <c r="H56" s="61"/>
      <c r="I56" s="61"/>
    </row>
    <row r="57" spans="1:9" x14ac:dyDescent="0.2">
      <c r="D57" s="61"/>
      <c r="E57" s="61"/>
      <c r="F57" s="61">
        <f t="shared" si="6"/>
        <v>0</v>
      </c>
      <c r="G57" s="61"/>
      <c r="H57" s="61"/>
      <c r="I57" s="61"/>
    </row>
    <row r="58" spans="1:9" x14ac:dyDescent="0.2">
      <c r="A58" t="s">
        <v>50</v>
      </c>
      <c r="D58" s="61"/>
      <c r="E58" s="61"/>
      <c r="F58" s="61">
        <f t="shared" si="6"/>
        <v>0</v>
      </c>
      <c r="G58" s="61"/>
      <c r="H58" s="61"/>
      <c r="I58" s="61"/>
    </row>
    <row r="59" spans="1:9" x14ac:dyDescent="0.2">
      <c r="A59" t="s">
        <v>46</v>
      </c>
      <c r="D59" s="61">
        <v>78.14</v>
      </c>
      <c r="E59" s="61">
        <v>4.4800000000000004</v>
      </c>
      <c r="F59" s="61">
        <f t="shared" si="6"/>
        <v>82.62</v>
      </c>
      <c r="G59" s="61"/>
      <c r="H59" s="61"/>
      <c r="I59" s="61"/>
    </row>
    <row r="60" spans="1:9" x14ac:dyDescent="0.2">
      <c r="A60" t="s">
        <v>66</v>
      </c>
      <c r="D60" s="68">
        <v>183.09</v>
      </c>
      <c r="E60" s="68">
        <v>10.09</v>
      </c>
      <c r="F60" s="68">
        <f t="shared" si="6"/>
        <v>193.18</v>
      </c>
      <c r="G60" s="61"/>
      <c r="H60" s="61"/>
      <c r="I60" s="61"/>
    </row>
    <row r="61" spans="1:9" x14ac:dyDescent="0.2">
      <c r="D61" s="69">
        <f>SUM(D59:D60)</f>
        <v>261.23</v>
      </c>
      <c r="E61" s="61">
        <f>SUM(E59:E60)</f>
        <v>14.57</v>
      </c>
      <c r="F61" s="61">
        <f t="shared" si="6"/>
        <v>275.8</v>
      </c>
      <c r="G61" s="61"/>
      <c r="H61" s="61"/>
      <c r="I61" s="61"/>
    </row>
    <row r="62" spans="1:9" x14ac:dyDescent="0.2">
      <c r="D62" s="61"/>
      <c r="E62" s="61"/>
      <c r="F62" s="61">
        <f t="shared" si="6"/>
        <v>0</v>
      </c>
      <c r="G62" s="61"/>
      <c r="H62" s="61"/>
      <c r="I62" s="61"/>
    </row>
    <row r="63" spans="1:9" x14ac:dyDescent="0.2">
      <c r="A63" t="s">
        <v>51</v>
      </c>
      <c r="D63" s="61"/>
      <c r="E63" s="61"/>
      <c r="F63" s="61">
        <f t="shared" si="6"/>
        <v>0</v>
      </c>
      <c r="G63" s="61"/>
      <c r="H63" s="61"/>
      <c r="I63" s="61"/>
    </row>
    <row r="64" spans="1:9" x14ac:dyDescent="0.2">
      <c r="A64" t="s">
        <v>46</v>
      </c>
      <c r="D64" s="61">
        <v>10602.32</v>
      </c>
      <c r="E64" s="61">
        <v>1064.27</v>
      </c>
      <c r="F64" s="61">
        <f t="shared" si="6"/>
        <v>11666.59</v>
      </c>
      <c r="G64" s="61"/>
      <c r="H64" s="61"/>
      <c r="I64" s="61"/>
    </row>
    <row r="65" spans="1:11" x14ac:dyDescent="0.2">
      <c r="A65" t="s">
        <v>66</v>
      </c>
      <c r="D65" s="68">
        <v>14104.49</v>
      </c>
      <c r="E65" s="68">
        <v>1308.4100000000001</v>
      </c>
      <c r="F65" s="68">
        <f t="shared" si="6"/>
        <v>15412.9</v>
      </c>
      <c r="G65" s="61"/>
      <c r="H65" s="61"/>
      <c r="I65" s="61"/>
    </row>
    <row r="66" spans="1:11" x14ac:dyDescent="0.2">
      <c r="D66" s="69">
        <f>SUM(D64:D65)</f>
        <v>24706.809999999998</v>
      </c>
      <c r="E66" s="61">
        <f>SUM(E64:E65)</f>
        <v>2372.6800000000003</v>
      </c>
      <c r="F66" s="61">
        <f t="shared" si="6"/>
        <v>27079.489999999998</v>
      </c>
      <c r="G66" s="61"/>
      <c r="H66" s="61"/>
      <c r="I66" s="61"/>
    </row>
    <row r="67" spans="1:11" x14ac:dyDescent="0.2">
      <c r="D67" s="61"/>
      <c r="E67" s="61"/>
      <c r="F67" s="61">
        <f t="shared" si="6"/>
        <v>0</v>
      </c>
      <c r="G67" s="61"/>
      <c r="H67" s="61"/>
      <c r="I67" s="61"/>
    </row>
    <row r="68" spans="1:11" x14ac:dyDescent="0.2">
      <c r="A68" t="s">
        <v>52</v>
      </c>
      <c r="D68" s="61"/>
      <c r="E68" s="61"/>
      <c r="F68" s="61">
        <f t="shared" si="6"/>
        <v>0</v>
      </c>
      <c r="G68" s="61"/>
      <c r="H68" s="61"/>
      <c r="I68" s="61"/>
    </row>
    <row r="69" spans="1:11" x14ac:dyDescent="0.2">
      <c r="A69" t="s">
        <v>46</v>
      </c>
      <c r="D69" s="61">
        <v>15040.36</v>
      </c>
      <c r="E69" s="61">
        <v>1486.74</v>
      </c>
      <c r="F69" s="61">
        <f t="shared" si="6"/>
        <v>16527.100000000002</v>
      </c>
      <c r="G69" s="61"/>
      <c r="H69" s="61"/>
      <c r="I69" s="61"/>
    </row>
    <row r="70" spans="1:11" x14ac:dyDescent="0.2">
      <c r="A70" t="s">
        <v>66</v>
      </c>
      <c r="D70" s="68">
        <v>20762.650000000001</v>
      </c>
      <c r="E70" s="68">
        <v>1880.23</v>
      </c>
      <c r="F70" s="68">
        <f t="shared" si="6"/>
        <v>22642.880000000001</v>
      </c>
      <c r="G70" s="61"/>
      <c r="H70" s="61"/>
      <c r="I70" s="61"/>
    </row>
    <row r="71" spans="1:11" x14ac:dyDescent="0.2">
      <c r="D71" s="69">
        <f>SUM(D69:D70)</f>
        <v>35803.01</v>
      </c>
      <c r="E71" s="61">
        <f>SUM(E69:E70)</f>
        <v>3366.9700000000003</v>
      </c>
      <c r="F71" s="61">
        <f t="shared" si="6"/>
        <v>39169.980000000003</v>
      </c>
      <c r="G71" s="61"/>
      <c r="H71" s="61"/>
      <c r="I71" s="61"/>
    </row>
    <row r="72" spans="1:11" x14ac:dyDescent="0.2">
      <c r="F72" s="61">
        <f t="shared" si="6"/>
        <v>0</v>
      </c>
    </row>
    <row r="73" spans="1:11" x14ac:dyDescent="0.2">
      <c r="A73" t="s">
        <v>53</v>
      </c>
      <c r="F73" s="61">
        <f t="shared" si="6"/>
        <v>0</v>
      </c>
    </row>
    <row r="74" spans="1:11" x14ac:dyDescent="0.2">
      <c r="A74" t="s">
        <v>46</v>
      </c>
      <c r="D74">
        <v>787.82</v>
      </c>
      <c r="E74">
        <v>79.569999999999993</v>
      </c>
      <c r="F74" s="61">
        <f t="shared" si="6"/>
        <v>867.3900000000001</v>
      </c>
    </row>
    <row r="75" spans="1:11" x14ac:dyDescent="0.2">
      <c r="A75" t="s">
        <v>66</v>
      </c>
      <c r="D75" s="11">
        <v>1086.6500000000001</v>
      </c>
      <c r="E75" s="11">
        <v>99.36</v>
      </c>
      <c r="F75" s="68">
        <f t="shared" si="6"/>
        <v>1186.01</v>
      </c>
    </row>
    <row r="76" spans="1:11" x14ac:dyDescent="0.2">
      <c r="D76" s="69">
        <f>SUM(D74:D75)</f>
        <v>1874.4700000000003</v>
      </c>
      <c r="E76" s="61">
        <f>SUM(E74:E75)</f>
        <v>178.93</v>
      </c>
      <c r="F76" s="61">
        <f t="shared" si="6"/>
        <v>2053.4</v>
      </c>
    </row>
    <row r="77" spans="1:11" x14ac:dyDescent="0.2">
      <c r="D77" s="61"/>
      <c r="E77" s="61"/>
      <c r="F77" s="61">
        <f t="shared" si="6"/>
        <v>0</v>
      </c>
      <c r="G77" s="61"/>
      <c r="H77" s="61"/>
      <c r="I77" s="61"/>
      <c r="J77" s="61"/>
      <c r="K77" s="61"/>
    </row>
    <row r="78" spans="1:11" x14ac:dyDescent="0.2">
      <c r="A78" t="s">
        <v>54</v>
      </c>
      <c r="D78" s="61"/>
      <c r="E78" s="61"/>
      <c r="F78" s="61">
        <f t="shared" si="6"/>
        <v>0</v>
      </c>
      <c r="G78" s="61"/>
      <c r="H78" s="61"/>
      <c r="I78" s="61"/>
      <c r="J78" s="61"/>
      <c r="K78" s="61"/>
    </row>
    <row r="79" spans="1:11" x14ac:dyDescent="0.2">
      <c r="A79" t="s">
        <v>46</v>
      </c>
      <c r="D79" s="61">
        <v>394.88</v>
      </c>
      <c r="E79" s="61">
        <v>32.18</v>
      </c>
      <c r="F79" s="61">
        <f t="shared" si="6"/>
        <v>427.06</v>
      </c>
      <c r="G79" s="61"/>
      <c r="H79" s="61"/>
      <c r="I79" s="61"/>
      <c r="J79" s="61"/>
      <c r="K79" s="61"/>
    </row>
    <row r="80" spans="1:11" x14ac:dyDescent="0.2">
      <c r="A80" t="s">
        <v>66</v>
      </c>
      <c r="D80" s="68">
        <v>1293.6500000000001</v>
      </c>
      <c r="E80" s="68">
        <v>79.290000000000006</v>
      </c>
      <c r="F80" s="68">
        <f t="shared" si="6"/>
        <v>1372.94</v>
      </c>
      <c r="G80" s="61"/>
      <c r="H80" s="61"/>
      <c r="I80" s="61"/>
      <c r="J80" s="61"/>
      <c r="K80" s="61"/>
    </row>
    <row r="81" spans="1:11" x14ac:dyDescent="0.2">
      <c r="D81" s="69">
        <f>SUM(D79:D80)</f>
        <v>1688.5300000000002</v>
      </c>
      <c r="E81" s="61">
        <f>SUM(E79:E80)</f>
        <v>111.47</v>
      </c>
      <c r="F81" s="61">
        <f t="shared" si="6"/>
        <v>1800.0000000000002</v>
      </c>
      <c r="G81" s="61"/>
      <c r="H81" s="61"/>
      <c r="I81" s="61"/>
      <c r="J81" s="61"/>
      <c r="K81" s="61"/>
    </row>
    <row r="82" spans="1:11" x14ac:dyDescent="0.2">
      <c r="D82" s="61"/>
      <c r="E82" s="61"/>
      <c r="F82" s="61">
        <f t="shared" si="6"/>
        <v>0</v>
      </c>
      <c r="G82" s="61"/>
      <c r="H82" s="61"/>
      <c r="I82" s="61"/>
      <c r="J82" s="61"/>
      <c r="K82" s="61"/>
    </row>
    <row r="83" spans="1:11" x14ac:dyDescent="0.2">
      <c r="D83" s="61"/>
      <c r="E83" s="61"/>
      <c r="F83" s="61">
        <f t="shared" si="6"/>
        <v>0</v>
      </c>
      <c r="G83" s="61"/>
      <c r="H83" s="61"/>
      <c r="I83" s="61"/>
      <c r="J83" s="61"/>
      <c r="K83" s="61"/>
    </row>
    <row r="84" spans="1:11" x14ac:dyDescent="0.2">
      <c r="A84" t="s">
        <v>57</v>
      </c>
      <c r="D84" s="61">
        <f>SUM(D49+D54+D59+D64+D69+D74+D79)</f>
        <v>181817.03000000003</v>
      </c>
      <c r="E84" s="61">
        <f>SUM(E49+E54+E59+E64+E69+E74+E79)</f>
        <v>18685.07</v>
      </c>
      <c r="F84" s="61">
        <f t="shared" si="6"/>
        <v>200502.10000000003</v>
      </c>
      <c r="G84" s="61"/>
      <c r="H84" s="61"/>
      <c r="I84" s="61"/>
      <c r="J84" s="61"/>
      <c r="K84" s="61"/>
    </row>
    <row r="85" spans="1:11" x14ac:dyDescent="0.2">
      <c r="D85" s="61"/>
      <c r="E85" s="61"/>
      <c r="F85" s="61"/>
      <c r="G85" s="61"/>
      <c r="H85" s="61"/>
      <c r="I85" s="61"/>
      <c r="J85" s="61"/>
      <c r="K85" s="61"/>
    </row>
    <row r="86" spans="1:11" x14ac:dyDescent="0.2">
      <c r="D86" s="61"/>
      <c r="E86" s="61"/>
      <c r="F86" s="61"/>
      <c r="G86" s="61"/>
      <c r="H86" s="61"/>
      <c r="I86" s="61"/>
      <c r="J86" s="61"/>
      <c r="K86" s="61"/>
    </row>
  </sheetData>
  <mergeCells count="1">
    <mergeCell ref="H24:I24"/>
  </mergeCells>
  <pageMargins left="0.25" right="0.25" top="0.75" bottom="0.75" header="0.3" footer="0.3"/>
  <pageSetup scale="80" fitToHeight="0" orientation="landscape" r:id="rId1"/>
  <headerFooter alignWithMargins="0">
    <oddFooter xml:space="preserve">&amp;L&amp;F&amp;R&amp;8Prepared by Mike Escaname 
Health &amp; Human Services Dept. 
07/03/14&amp;9 
&amp;10 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31" r:id="rId4">
          <objectPr defaultSize="0" autoPict="0" r:id="rId5">
            <anchor moveWithCells="1">
              <from>
                <xdr:col>6</xdr:col>
                <xdr:colOff>1209675</xdr:colOff>
                <xdr:row>32</xdr:row>
                <xdr:rowOff>133350</xdr:rowOff>
              </from>
              <to>
                <xdr:col>8</xdr:col>
                <xdr:colOff>142875</xdr:colOff>
                <xdr:row>34</xdr:row>
                <xdr:rowOff>47625</xdr:rowOff>
              </to>
            </anchor>
          </objectPr>
        </oleObject>
      </mc:Choice>
      <mc:Fallback>
        <oleObject progId="Acrobat Document" dvAspect="DVASPECT_ICON" shapeId="1031" r:id="rId4"/>
      </mc:Fallback>
    </mc:AlternateContent>
    <mc:AlternateContent xmlns:mc="http://schemas.openxmlformats.org/markup-compatibility/2006">
      <mc:Choice Requires="x14">
        <oleObject progId="Acrobat Document" dvAspect="DVASPECT_ICON" shapeId="1032" r:id="rId6">
          <objectPr defaultSize="0" autoPict="0" r:id="rId7">
            <anchor moveWithCells="1">
              <from>
                <xdr:col>6</xdr:col>
                <xdr:colOff>190500</xdr:colOff>
                <xdr:row>50</xdr:row>
                <xdr:rowOff>38100</xdr:rowOff>
              </from>
              <to>
                <xdr:col>7</xdr:col>
                <xdr:colOff>171450</xdr:colOff>
                <xdr:row>53</xdr:row>
                <xdr:rowOff>142875</xdr:rowOff>
              </to>
            </anchor>
          </objectPr>
        </oleObject>
      </mc:Choice>
      <mc:Fallback>
        <oleObject progId="Acrobat Document" dvAspect="DVASPECT_ICON" shapeId="1032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PHEP FY 14</vt:lpstr>
      <vt:lpstr>PHEP FY 14 SAL PROJ </vt:lpstr>
      <vt:lpstr>'PHEP FY 14'!Print_Area</vt:lpstr>
      <vt:lpstr>'PHEP FY 14 SAL PROJ '!Print_Area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cp:lastPrinted>2014-07-03T16:57:11Z</cp:lastPrinted>
  <dcterms:created xsi:type="dcterms:W3CDTF">2013-11-06T19:44:36Z</dcterms:created>
  <dcterms:modified xsi:type="dcterms:W3CDTF">2014-07-03T16:57:48Z</dcterms:modified>
</cp:coreProperties>
</file>