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5480" windowHeight="11505"/>
  </bookViews>
  <sheets>
    <sheet name="Salary Schedule Budget" sheetId="2" r:id="rId1"/>
    <sheet name="FY 15 Work Hours" sheetId="1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T36" i="2" l="1"/>
  <c r="S36" i="2"/>
  <c r="T35" i="2"/>
  <c r="S35" i="2"/>
  <c r="T33" i="2"/>
  <c r="S33" i="2"/>
  <c r="T34" i="2" l="1"/>
  <c r="S34" i="2"/>
  <c r="T37" i="2"/>
  <c r="S37" i="2"/>
  <c r="T38" i="2"/>
  <c r="S38" i="2"/>
  <c r="T32" i="2"/>
  <c r="S32" i="2"/>
  <c r="G32" i="2"/>
  <c r="M32" i="2" s="1"/>
  <c r="G33" i="2"/>
  <c r="M33" i="2" s="1"/>
  <c r="R33" i="2" s="1"/>
  <c r="G34" i="2"/>
  <c r="M34" i="2" s="1"/>
  <c r="P34" i="2" l="1"/>
  <c r="R34" i="2"/>
  <c r="R32" i="2"/>
  <c r="P32" i="2"/>
  <c r="P33" i="2"/>
  <c r="T39" i="2"/>
  <c r="S39" i="2"/>
  <c r="G35" i="2" l="1"/>
  <c r="G36" i="2"/>
  <c r="M36" i="2" s="1"/>
  <c r="G37" i="2"/>
  <c r="M37" i="2" s="1"/>
  <c r="G38" i="2"/>
  <c r="M38" i="2" s="1"/>
  <c r="R37" i="2" l="1"/>
  <c r="P37" i="2"/>
  <c r="P38" i="2"/>
  <c r="Q38" i="2"/>
  <c r="R38" i="2"/>
  <c r="O38" i="2"/>
  <c r="U38" i="2" s="1"/>
  <c r="V38" i="2" s="1"/>
  <c r="P36" i="2"/>
  <c r="R36" i="2"/>
  <c r="N38" i="2"/>
  <c r="S10" i="2" l="1"/>
  <c r="S11" i="2"/>
  <c r="S12" i="2"/>
  <c r="S13" i="2"/>
  <c r="S14" i="2"/>
  <c r="S15" i="2"/>
  <c r="S16" i="2"/>
  <c r="S18" i="2"/>
  <c r="S9" i="2"/>
  <c r="M35" i="2" l="1"/>
  <c r="N37" i="2"/>
  <c r="R35" i="2" l="1"/>
  <c r="R39" i="2" s="1"/>
  <c r="P35" i="2"/>
  <c r="P39" i="2" s="1"/>
  <c r="M39" i="2"/>
  <c r="Q37" i="2"/>
  <c r="O37" i="2" l="1"/>
  <c r="U37" i="2" l="1"/>
  <c r="V37" i="2" s="1"/>
  <c r="E10" i="2"/>
  <c r="F10" i="2" s="1"/>
  <c r="E11" i="2"/>
  <c r="T11" i="2" s="1"/>
  <c r="E12" i="2"/>
  <c r="F12" i="2" s="1"/>
  <c r="E13" i="2"/>
  <c r="T13" i="2" s="1"/>
  <c r="E14" i="2"/>
  <c r="F14" i="2" s="1"/>
  <c r="E15" i="2"/>
  <c r="T15" i="2" s="1"/>
  <c r="E16" i="2"/>
  <c r="F16" i="2" s="1"/>
  <c r="E17" i="2"/>
  <c r="F17" i="2" s="1"/>
  <c r="E18" i="2"/>
  <c r="T18" i="2" s="1"/>
  <c r="E9" i="2"/>
  <c r="T9" i="2" s="1"/>
  <c r="F43" i="1"/>
  <c r="F42" i="1"/>
  <c r="D36" i="1"/>
  <c r="D35" i="1"/>
  <c r="F15" i="2" l="1"/>
  <c r="F11" i="2"/>
  <c r="F13" i="2"/>
  <c r="T16" i="2"/>
  <c r="T14" i="2"/>
  <c r="T12" i="2"/>
  <c r="T10" i="2"/>
  <c r="F18" i="2"/>
  <c r="O35" i="2" l="1"/>
  <c r="Q33" i="2" l="1"/>
  <c r="Q34" i="2"/>
  <c r="O33" i="2"/>
  <c r="O34" i="2"/>
  <c r="N33" i="2"/>
  <c r="N34" i="2"/>
  <c r="N35" i="2"/>
  <c r="N36" i="2"/>
  <c r="Q32" i="2"/>
  <c r="N32" i="2"/>
  <c r="O36" i="2" l="1"/>
  <c r="Q36" i="2"/>
  <c r="U33" i="2"/>
  <c r="V33" i="2" s="1"/>
  <c r="Q35" i="2"/>
  <c r="U34" i="2"/>
  <c r="V34" i="2" s="1"/>
  <c r="O32" i="2"/>
  <c r="G10" i="2"/>
  <c r="K10" i="2" s="1"/>
  <c r="G11" i="2"/>
  <c r="K11" i="2" s="1"/>
  <c r="G12" i="2"/>
  <c r="K12" i="2" s="1"/>
  <c r="G13" i="2"/>
  <c r="K13" i="2" s="1"/>
  <c r="G14" i="2"/>
  <c r="K14" i="2" s="1"/>
  <c r="M14" i="2" s="1"/>
  <c r="R14" i="2" s="1"/>
  <c r="G15" i="2"/>
  <c r="K15" i="2" s="1"/>
  <c r="G16" i="2"/>
  <c r="K16" i="2" s="1"/>
  <c r="M16" i="2" s="1"/>
  <c r="R16" i="2" s="1"/>
  <c r="G17" i="2"/>
  <c r="K17" i="2" s="1"/>
  <c r="G18" i="2"/>
  <c r="K18" i="2" s="1"/>
  <c r="M18" i="2" s="1"/>
  <c r="R18" i="2" s="1"/>
  <c r="G9" i="2"/>
  <c r="K9" i="2" s="1"/>
  <c r="H10" i="2"/>
  <c r="L10" i="2" s="1"/>
  <c r="H11" i="2"/>
  <c r="L11" i="2" s="1"/>
  <c r="H12" i="2"/>
  <c r="L12" i="2" s="1"/>
  <c r="H14" i="2"/>
  <c r="L14" i="2" s="1"/>
  <c r="H15" i="2"/>
  <c r="L15" i="2" s="1"/>
  <c r="H16" i="2"/>
  <c r="L16" i="2" s="1"/>
  <c r="H17" i="2"/>
  <c r="L17" i="2" s="1"/>
  <c r="H18" i="2"/>
  <c r="L18" i="2" s="1"/>
  <c r="F9" i="2"/>
  <c r="H9" i="2" s="1"/>
  <c r="L9" i="2" s="1"/>
  <c r="E19" i="2"/>
  <c r="D19" i="2"/>
  <c r="F44" i="1"/>
  <c r="H43" i="1"/>
  <c r="H42" i="1"/>
  <c r="D37" i="1"/>
  <c r="D39" i="1" s="1"/>
  <c r="Q39" i="2" l="1"/>
  <c r="O39" i="2"/>
  <c r="P18" i="2"/>
  <c r="Q18" i="2"/>
  <c r="P16" i="2"/>
  <c r="Q16" i="2"/>
  <c r="P14" i="2"/>
  <c r="Q14" i="2"/>
  <c r="M10" i="2"/>
  <c r="R10" i="2" s="1"/>
  <c r="M15" i="2"/>
  <c r="R15" i="2" s="1"/>
  <c r="M11" i="2"/>
  <c r="R11" i="2" s="1"/>
  <c r="M12" i="2"/>
  <c r="R12" i="2" s="1"/>
  <c r="H44" i="1"/>
  <c r="U36" i="2"/>
  <c r="V36" i="2" s="1"/>
  <c r="U35" i="2"/>
  <c r="V35" i="2" s="1"/>
  <c r="U32" i="2"/>
  <c r="M9" i="2"/>
  <c r="R9" i="2" s="1"/>
  <c r="F19" i="2"/>
  <c r="T19" i="2"/>
  <c r="S19" i="2"/>
  <c r="O16" i="2"/>
  <c r="N12" i="2"/>
  <c r="H13" i="2"/>
  <c r="L13" i="2" s="1"/>
  <c r="M13" i="2" s="1"/>
  <c r="R13" i="2" s="1"/>
  <c r="U39" i="2" l="1"/>
  <c r="P13" i="2"/>
  <c r="Q13" i="2"/>
  <c r="P12" i="2"/>
  <c r="Q12" i="2"/>
  <c r="P11" i="2"/>
  <c r="Q11" i="2"/>
  <c r="P15" i="2"/>
  <c r="Q15" i="2"/>
  <c r="P9" i="2"/>
  <c r="Q9" i="2"/>
  <c r="P10" i="2"/>
  <c r="Q10" i="2"/>
  <c r="V32" i="2"/>
  <c r="V39" i="2" s="1"/>
  <c r="N14" i="2"/>
  <c r="U16" i="2"/>
  <c r="V16" i="2" s="1"/>
  <c r="O12" i="2"/>
  <c r="U12" i="2" s="1"/>
  <c r="V12" i="2" s="1"/>
  <c r="N16" i="2"/>
  <c r="O10" i="2"/>
  <c r="O9" i="2"/>
  <c r="N10" i="2"/>
  <c r="O14" i="2"/>
  <c r="N9" i="2"/>
  <c r="N13" i="2"/>
  <c r="O13" i="2"/>
  <c r="O11" i="2"/>
  <c r="N11" i="2"/>
  <c r="O15" i="2"/>
  <c r="N15" i="2"/>
  <c r="O18" i="2"/>
  <c r="N18" i="2"/>
  <c r="M19" i="2"/>
  <c r="M42" i="2" s="1"/>
  <c r="U9" i="2" l="1"/>
  <c r="V9" i="2" s="1"/>
  <c r="U15" i="2"/>
  <c r="V15" i="2" s="1"/>
  <c r="U14" i="2"/>
  <c r="V14" i="2" s="1"/>
  <c r="Q19" i="2"/>
  <c r="U10" i="2"/>
  <c r="V10" i="2" s="1"/>
  <c r="N19" i="2"/>
  <c r="O19" i="2"/>
  <c r="P19" i="2"/>
  <c r="R19" i="2"/>
  <c r="U18" i="2"/>
  <c r="V18" i="2" s="1"/>
  <c r="U11" i="2"/>
  <c r="V11" i="2" s="1"/>
  <c r="U13" i="2"/>
  <c r="V13" i="2" s="1"/>
  <c r="U19" i="2" l="1"/>
  <c r="U42" i="2" s="1"/>
  <c r="V19" i="2"/>
  <c r="V42" i="2" s="1"/>
</calcChain>
</file>

<file path=xl/sharedStrings.xml><?xml version="1.0" encoding="utf-8"?>
<sst xmlns="http://schemas.openxmlformats.org/spreadsheetml/2006/main" count="142" uniqueCount="124">
  <si>
    <t xml:space="preserve">2014 PAYROLL SCHEDULE </t>
  </si>
  <si>
    <t>Pay Period</t>
  </si>
  <si>
    <t xml:space="preserve">Work Period Covered </t>
  </si>
  <si>
    <t xml:space="preserve">Pay Day </t>
  </si>
  <si>
    <t xml:space="preserve">Number of Days </t>
  </si>
  <si>
    <t>(8 hrs per day)</t>
  </si>
  <si>
    <t xml:space="preserve">Number of Work Hours in FY 13 Period = </t>
  </si>
  <si>
    <t>Work Hours</t>
  </si>
  <si>
    <t xml:space="preserve">Number of Work Days To Be Paid at 2014 Salary </t>
  </si>
  <si>
    <t xml:space="preserve">Grant Application </t>
  </si>
  <si>
    <t xml:space="preserve">Salary Budget </t>
  </si>
  <si>
    <t xml:space="preserve">For Budget Purposes Only </t>
  </si>
  <si>
    <t xml:space="preserve">Hourly Rate </t>
  </si>
  <si>
    <t>Fringes</t>
  </si>
  <si>
    <t>Insurance</t>
  </si>
  <si>
    <t xml:space="preserve">Slot # </t>
  </si>
  <si>
    <t xml:space="preserve">Employee # </t>
  </si>
  <si>
    <t xml:space="preserve">Position Title </t>
  </si>
  <si>
    <t xml:space="preserve">Hourly Rate With 3% </t>
  </si>
  <si>
    <t xml:space="preserve"> Projected Salaries</t>
  </si>
  <si>
    <t>Salary per month</t>
  </si>
  <si>
    <t>FICA       (7.65%</t>
  </si>
  <si>
    <t>Health Ins.</t>
  </si>
  <si>
    <t>Life Ins.</t>
  </si>
  <si>
    <t>Projected Fringes</t>
  </si>
  <si>
    <t>Hourly Rate (current)</t>
  </si>
  <si>
    <t># of   Hours in 2014</t>
  </si>
  <si>
    <t>Projected Total Salaries &amp; Fringes</t>
  </si>
  <si>
    <t>County Salary Schedule ------------&gt;</t>
  </si>
  <si>
    <t>0001</t>
  </si>
  <si>
    <t>0005</t>
  </si>
  <si>
    <t>0007</t>
  </si>
  <si>
    <t>0008</t>
  </si>
  <si>
    <t>0011</t>
  </si>
  <si>
    <t>0014</t>
  </si>
  <si>
    <t>0015</t>
  </si>
  <si>
    <t>0016</t>
  </si>
  <si>
    <t>0018</t>
  </si>
  <si>
    <t>0019</t>
  </si>
  <si>
    <t>115541</t>
  </si>
  <si>
    <t>PUBLIC HEALTH PREP COORD</t>
  </si>
  <si>
    <t>161187</t>
  </si>
  <si>
    <t>PUBLIC HEALTH PLANNER</t>
  </si>
  <si>
    <t>115924</t>
  </si>
  <si>
    <t>LICENSED VOCATIONAL NURSE II</t>
  </si>
  <si>
    <t>187968</t>
  </si>
  <si>
    <t>LVN II</t>
  </si>
  <si>
    <t>092398</t>
  </si>
  <si>
    <t>HEALTH TECHNICIAN</t>
  </si>
  <si>
    <t>131504</t>
  </si>
  <si>
    <t>ASSISTANT PUBLIC HEALTH PREP. COORD.</t>
  </si>
  <si>
    <t>021121</t>
  </si>
  <si>
    <t>PUBLIC HEALTH SPECIALIST</t>
  </si>
  <si>
    <t>115991</t>
  </si>
  <si>
    <t>STRTGC NAT STCKPL COORD PLNNR</t>
  </si>
  <si>
    <t>196738</t>
  </si>
  <si>
    <t>193984</t>
  </si>
  <si>
    <t>Actual Salary (PHEP Progam)  (current)</t>
  </si>
  <si>
    <t xml:space="preserve">This schedule was prepared when the grant application was submitted to DSHS on (pending submittal) </t>
  </si>
  <si>
    <t xml:space="preserve">LOCAL MATCH SALARIES / FRINGES: </t>
  </si>
  <si>
    <t xml:space="preserve">Chief Administrative Officer </t>
  </si>
  <si>
    <t>Director of Operations</t>
  </si>
  <si>
    <t xml:space="preserve">Epidemiologist </t>
  </si>
  <si>
    <t>Budget Manager</t>
  </si>
  <si>
    <t>TOTAL</t>
  </si>
  <si>
    <t xml:space="preserve">Grant Total </t>
  </si>
  <si>
    <t>Monthly Average</t>
  </si>
  <si>
    <t>09/01/2014 - 08/31/2015</t>
  </si>
  <si>
    <t>PHEP FY 15 (program 013)</t>
  </si>
  <si>
    <t>Salary Amount from 09/14 - 12/14</t>
  </si>
  <si>
    <t>Salary Amount from 01/15 - 08/15</t>
  </si>
  <si>
    <t>2014 Budgeted Salary</t>
  </si>
  <si>
    <t>PHEP Program Salary With 3% COLA</t>
  </si>
  <si>
    <t>For FY 15 Grant Periods (09/01/2014 through 08/31/2015)</t>
  </si>
  <si>
    <t>08/25/2014 - 08/31/2014</t>
  </si>
  <si>
    <t>09/01/2013 - 09/07/2013</t>
  </si>
  <si>
    <t xml:space="preserve">2015 PAYROLL SCHEDULE </t>
  </si>
  <si>
    <t>09/08/2014 - 09/21/2014</t>
  </si>
  <si>
    <t>09/22/2014 - 10/05/2014</t>
  </si>
  <si>
    <t>10/06/2014 - 10/19/2014</t>
  </si>
  <si>
    <t>10/20/2014 - 11/02/2014</t>
  </si>
  <si>
    <t>11/03/2014 - 11/16/2014</t>
  </si>
  <si>
    <t>11/17/2014 - 11/30/2014</t>
  </si>
  <si>
    <t>12/01/2014 - 12/14/2014</t>
  </si>
  <si>
    <t>12/15/2014 - 12/28/2014</t>
  </si>
  <si>
    <t>12/29/2014 - 01/11/2015</t>
  </si>
  <si>
    <t>01/12/2015 - 01/25/2015</t>
  </si>
  <si>
    <t>01/26/2015 - 02/08/2015</t>
  </si>
  <si>
    <t>02/09/2015 - 02/22/2015</t>
  </si>
  <si>
    <t>02/23/2015 - 03/08/2015</t>
  </si>
  <si>
    <t>03/09/2015 - 03/22/2015</t>
  </si>
  <si>
    <t>03/23/2015 - 04/05/2015</t>
  </si>
  <si>
    <t>04/06/2015 - 04/19/2015</t>
  </si>
  <si>
    <t>04/20/2015 - 05/03/2015</t>
  </si>
  <si>
    <t>05/04/2015 - 05/17/2015</t>
  </si>
  <si>
    <t>05/18/2015 - 05/31/2015</t>
  </si>
  <si>
    <t>06/01/2015 - 06/14/2015</t>
  </si>
  <si>
    <t>06/15/2015 - 06/28/2015</t>
  </si>
  <si>
    <t>06/29/2015 - 07/12/2015</t>
  </si>
  <si>
    <t>07/13/2015 - 07/26/2015</t>
  </si>
  <si>
    <t>07/27/2015 - 08/09/2015</t>
  </si>
  <si>
    <t>08/10/2015 - 08/23/2015</t>
  </si>
  <si>
    <t>08/24/2015 - 09/06/2015</t>
  </si>
  <si>
    <t>Number of Work Days in 2014 FY 15</t>
  </si>
  <si>
    <t>Number of Work Days in 2015 FY 15</t>
  </si>
  <si>
    <t xml:space="preserve"> x 8 hrs = </t>
  </si>
  <si>
    <t>2014 Fringe Rates --------------------&gt;</t>
  </si>
  <si>
    <t>Financial Specialist</t>
  </si>
  <si>
    <t>A 3% cost of living increase is budgeted from 01/01/15 to 08/31/15. (pending CC approval)</t>
  </si>
  <si>
    <t xml:space="preserve">2014 fringe benefit rates are used as this is the latest information available at this time.  </t>
  </si>
  <si>
    <t xml:space="preserve">Actual work hours in grant period used which total to 2,088 for FY 15. </t>
  </si>
  <si>
    <t>Unemployment  (.57%)</t>
  </si>
  <si>
    <t xml:space="preserve">Number of Work Days To Be Paid at 2015 Salary </t>
  </si>
  <si>
    <t xml:space="preserve">26 pay periods / 261 days </t>
  </si>
  <si>
    <t>PUBLIC HEALTH EMERGENCY PREPAREDNESS (PHEP) FY 15</t>
  </si>
  <si>
    <t>Retirement  (11.28%)</t>
  </si>
  <si>
    <t>To be Vacated</t>
  </si>
  <si>
    <t># of   Hours in 2015</t>
  </si>
  <si>
    <t>2015 Fringe Rates ----------------&gt;</t>
  </si>
  <si>
    <t>Workers Comp (.94%)</t>
  </si>
  <si>
    <t>Executive Assistant IV</t>
  </si>
  <si>
    <t>Workers Comp (.21%)</t>
  </si>
  <si>
    <t>Public Health Technician</t>
  </si>
  <si>
    <t>% of Contribution to PHEP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</si>
</sst>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000_);_(* \(#,##0.0000\);_(* &quot;-&quot;????_);_(@_)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indexed="12"/>
      <name val="Arial"/>
      <family val="2"/>
    </font>
    <font>
      <b/>
      <i/>
      <sz val="16"/>
      <color indexed="10"/>
      <name val="Arial"/>
      <family val="2"/>
    </font>
    <font>
      <i/>
      <sz val="10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0"/>
      <color indexed="12"/>
      <name val="Arial"/>
      <family val="2"/>
    </font>
    <font>
      <b/>
      <sz val="10"/>
      <color indexed="17"/>
      <name val="Arial"/>
      <family val="2"/>
    </font>
    <font>
      <sz val="10"/>
      <color indexed="12"/>
      <name val="Arial"/>
      <family val="2"/>
    </font>
    <font>
      <sz val="10"/>
      <color indexed="20"/>
      <name val="Arial"/>
      <family val="2"/>
    </font>
    <font>
      <b/>
      <sz val="10"/>
      <color rgb="FF0000CC"/>
      <name val="Arial"/>
      <family val="2"/>
    </font>
    <font>
      <sz val="10"/>
      <color rgb="FF0000CC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43" fontId="16" fillId="0" borderId="0" applyFont="0" applyFill="0" applyBorder="0" applyAlignment="0" applyProtection="0"/>
  </cellStyleXfs>
  <cellXfs count="154">
    <xf numFmtId="0" fontId="0" fillId="0" borderId="0" xfId="0"/>
    <xf numFmtId="0" fontId="1" fillId="0" borderId="0" xfId="1"/>
    <xf numFmtId="0" fontId="5" fillId="0" borderId="1" xfId="1" applyFont="1" applyBorder="1" applyAlignment="1">
      <alignment horizontal="center" wrapText="1"/>
    </xf>
    <xf numFmtId="0" fontId="5" fillId="0" borderId="3" xfId="1" applyFont="1" applyBorder="1" applyAlignment="1">
      <alignment horizontal="center" wrapText="1"/>
    </xf>
    <xf numFmtId="0" fontId="1" fillId="0" borderId="4" xfId="1" applyBorder="1"/>
    <xf numFmtId="0" fontId="1" fillId="0" borderId="0" xfId="1" applyFill="1" applyBorder="1"/>
    <xf numFmtId="0" fontId="6" fillId="0" borderId="0" xfId="1" applyFont="1"/>
    <xf numFmtId="0" fontId="1" fillId="0" borderId="6" xfId="1" applyBorder="1"/>
    <xf numFmtId="0" fontId="8" fillId="0" borderId="0" xfId="1" applyFont="1"/>
    <xf numFmtId="0" fontId="1" fillId="4" borderId="0" xfId="1" applyFill="1"/>
    <xf numFmtId="0" fontId="9" fillId="0" borderId="0" xfId="1" applyFont="1"/>
    <xf numFmtId="0" fontId="5" fillId="0" borderId="5" xfId="1" applyFont="1" applyBorder="1" applyAlignment="1">
      <alignment horizontal="center" wrapText="1"/>
    </xf>
    <xf numFmtId="0" fontId="1" fillId="4" borderId="0" xfId="1" applyFill="1" applyAlignment="1">
      <alignment wrapText="1"/>
    </xf>
    <xf numFmtId="0" fontId="1" fillId="0" borderId="8" xfId="1" applyBorder="1"/>
    <xf numFmtId="0" fontId="1" fillId="0" borderId="9" xfId="1" applyBorder="1"/>
    <xf numFmtId="14" fontId="1" fillId="0" borderId="10" xfId="1" applyNumberFormat="1" applyBorder="1"/>
    <xf numFmtId="14" fontId="1" fillId="0" borderId="9" xfId="1" applyNumberFormat="1" applyBorder="1"/>
    <xf numFmtId="0" fontId="1" fillId="2" borderId="9" xfId="1" applyFill="1" applyBorder="1"/>
    <xf numFmtId="0" fontId="6" fillId="2" borderId="9" xfId="1" applyFont="1" applyFill="1" applyBorder="1"/>
    <xf numFmtId="14" fontId="1" fillId="2" borderId="9" xfId="1" applyNumberFormat="1" applyFill="1" applyBorder="1"/>
    <xf numFmtId="0" fontId="1" fillId="0" borderId="11" xfId="1" applyBorder="1"/>
    <xf numFmtId="0" fontId="1" fillId="0" borderId="12" xfId="1" applyBorder="1"/>
    <xf numFmtId="14" fontId="1" fillId="0" borderId="13" xfId="1" applyNumberFormat="1" applyBorder="1"/>
    <xf numFmtId="14" fontId="1" fillId="0" borderId="12" xfId="1" applyNumberFormat="1" applyBorder="1"/>
    <xf numFmtId="0" fontId="1" fillId="2" borderId="12" xfId="1" applyFill="1" applyBorder="1"/>
    <xf numFmtId="0" fontId="6" fillId="2" borderId="12" xfId="1" applyFont="1" applyFill="1" applyBorder="1"/>
    <xf numFmtId="14" fontId="1" fillId="2" borderId="12" xfId="1" applyNumberFormat="1" applyFill="1" applyBorder="1"/>
    <xf numFmtId="0" fontId="1" fillId="0" borderId="11" xfId="1" applyFill="1" applyBorder="1"/>
    <xf numFmtId="0" fontId="1" fillId="0" borderId="12" xfId="1" applyFill="1" applyBorder="1"/>
    <xf numFmtId="14" fontId="1" fillId="0" borderId="13" xfId="1" applyNumberFormat="1" applyFill="1" applyBorder="1"/>
    <xf numFmtId="1" fontId="1" fillId="0" borderId="12" xfId="1" applyNumberFormat="1" applyFill="1" applyBorder="1"/>
    <xf numFmtId="0" fontId="6" fillId="0" borderId="12" xfId="1" applyFont="1" applyFill="1" applyBorder="1"/>
    <xf numFmtId="0" fontId="10" fillId="2" borderId="12" xfId="1" applyFont="1" applyFill="1" applyBorder="1"/>
    <xf numFmtId="0" fontId="7" fillId="0" borderId="0" xfId="1" applyFont="1"/>
    <xf numFmtId="0" fontId="1" fillId="2" borderId="11" xfId="1" applyFill="1" applyBorder="1"/>
    <xf numFmtId="14" fontId="1" fillId="2" borderId="13" xfId="1" applyNumberFormat="1" applyFill="1" applyBorder="1"/>
    <xf numFmtId="1" fontId="1" fillId="2" borderId="12" xfId="1" applyNumberFormat="1" applyFill="1" applyBorder="1"/>
    <xf numFmtId="14" fontId="6" fillId="2" borderId="12" xfId="1" applyNumberFormat="1" applyFont="1" applyFill="1" applyBorder="1"/>
    <xf numFmtId="0" fontId="1" fillId="2" borderId="14" xfId="1" applyFill="1" applyBorder="1"/>
    <xf numFmtId="0" fontId="6" fillId="2" borderId="4" xfId="1" applyFont="1" applyFill="1" applyBorder="1"/>
    <xf numFmtId="14" fontId="1" fillId="2" borderId="15" xfId="1" applyNumberFormat="1" applyFill="1" applyBorder="1"/>
    <xf numFmtId="1" fontId="1" fillId="2" borderId="4" xfId="1" applyNumberFormat="1" applyFill="1" applyBorder="1"/>
    <xf numFmtId="0" fontId="11" fillId="0" borderId="0" xfId="1" applyFont="1"/>
    <xf numFmtId="1" fontId="6" fillId="0" borderId="0" xfId="1" applyNumberFormat="1" applyFont="1"/>
    <xf numFmtId="1" fontId="1" fillId="0" borderId="0" xfId="1" applyNumberFormat="1"/>
    <xf numFmtId="0" fontId="1" fillId="0" borderId="0" xfId="1" applyFill="1" applyBorder="1" applyAlignment="1">
      <alignment horizontal="right"/>
    </xf>
    <xf numFmtId="0" fontId="13" fillId="0" borderId="0" xfId="1" applyFont="1"/>
    <xf numFmtId="0" fontId="13" fillId="5" borderId="7" xfId="1" applyFont="1" applyFill="1" applyBorder="1"/>
    <xf numFmtId="3" fontId="8" fillId="0" borderId="0" xfId="1" applyNumberFormat="1" applyFont="1" applyFill="1" applyBorder="1"/>
    <xf numFmtId="0" fontId="8" fillId="0" borderId="0" xfId="1" applyFont="1" applyFill="1" applyBorder="1"/>
    <xf numFmtId="0" fontId="1" fillId="5" borderId="0" xfId="1" applyFill="1"/>
    <xf numFmtId="0" fontId="1" fillId="0" borderId="0" xfId="1"/>
    <xf numFmtId="0" fontId="5" fillId="0" borderId="0" xfId="1" applyFont="1" applyAlignment="1">
      <alignment wrapText="1"/>
    </xf>
    <xf numFmtId="43" fontId="5" fillId="0" borderId="0" xfId="2" applyFont="1" applyAlignment="1">
      <alignment horizontal="center" wrapText="1"/>
    </xf>
    <xf numFmtId="0" fontId="5" fillId="0" borderId="1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49" fontId="5" fillId="0" borderId="1" xfId="1" applyNumberFormat="1" applyFont="1" applyBorder="1" applyAlignment="1">
      <alignment horizontal="center" wrapText="1"/>
    </xf>
    <xf numFmtId="0" fontId="5" fillId="0" borderId="1" xfId="1" applyFont="1" applyBorder="1" applyAlignment="1">
      <alignment horizontal="center" wrapText="1"/>
    </xf>
    <xf numFmtId="43" fontId="5" fillId="0" borderId="1" xfId="2" applyFont="1" applyBorder="1" applyAlignment="1">
      <alignment horizontal="center" wrapText="1"/>
    </xf>
    <xf numFmtId="43" fontId="5" fillId="0" borderId="2" xfId="2" applyFont="1" applyFill="1" applyBorder="1" applyAlignment="1">
      <alignment horizontal="center" wrapText="1"/>
    </xf>
    <xf numFmtId="43" fontId="5" fillId="0" borderId="1" xfId="2" applyFont="1" applyFill="1" applyBorder="1" applyAlignment="1">
      <alignment horizontal="center" wrapText="1"/>
    </xf>
    <xf numFmtId="43" fontId="5" fillId="0" borderId="2" xfId="2" applyFont="1" applyBorder="1" applyAlignment="1">
      <alignment horizontal="center" wrapText="1"/>
    </xf>
    <xf numFmtId="0" fontId="5" fillId="0" borderId="1" xfId="1" applyFont="1" applyFill="1" applyBorder="1" applyAlignment="1">
      <alignment horizontal="center" wrapText="1"/>
    </xf>
    <xf numFmtId="49" fontId="1" fillId="0" borderId="4" xfId="1" applyNumberFormat="1" applyBorder="1"/>
    <xf numFmtId="43" fontId="1" fillId="0" borderId="1" xfId="2" applyFill="1" applyBorder="1"/>
    <xf numFmtId="164" fontId="1" fillId="0" borderId="1" xfId="2" applyNumberFormat="1" applyFill="1" applyBorder="1"/>
    <xf numFmtId="37" fontId="1" fillId="0" borderId="1" xfId="2" applyNumberFormat="1" applyBorder="1"/>
    <xf numFmtId="43" fontId="1" fillId="0" borderId="1" xfId="1" applyNumberFormat="1" applyBorder="1"/>
    <xf numFmtId="43" fontId="1" fillId="0" borderId="2" xfId="1" applyNumberFormat="1" applyBorder="1"/>
    <xf numFmtId="49" fontId="1" fillId="0" borderId="1" xfId="1" applyNumberFormat="1" applyBorder="1"/>
    <xf numFmtId="0" fontId="1" fillId="0" borderId="0" xfId="1" applyFill="1" applyBorder="1"/>
    <xf numFmtId="49" fontId="1" fillId="0" borderId="0" xfId="1" applyNumberFormat="1" applyFill="1" applyBorder="1"/>
    <xf numFmtId="43" fontId="1" fillId="0" borderId="0" xfId="2" applyFill="1" applyBorder="1"/>
    <xf numFmtId="49" fontId="1" fillId="0" borderId="0" xfId="1" applyNumberFormat="1" applyFill="1" applyBorder="1" applyAlignment="1">
      <alignment wrapText="1"/>
    </xf>
    <xf numFmtId="0" fontId="1" fillId="0" borderId="0" xfId="1" applyFill="1" applyBorder="1" applyAlignment="1">
      <alignment wrapText="1"/>
    </xf>
    <xf numFmtId="0" fontId="1" fillId="0" borderId="1" xfId="1" applyBorder="1"/>
    <xf numFmtId="0" fontId="5" fillId="0" borderId="1" xfId="1" applyFont="1" applyBorder="1"/>
    <xf numFmtId="4" fontId="1" fillId="0" borderId="1" xfId="1" applyNumberFormat="1" applyBorder="1"/>
    <xf numFmtId="0" fontId="5" fillId="0" borderId="3" xfId="1" applyFont="1" applyFill="1" applyBorder="1" applyAlignment="1">
      <alignment horizontal="center" wrapText="1"/>
    </xf>
    <xf numFmtId="0" fontId="9" fillId="0" borderId="0" xfId="1" applyFont="1"/>
    <xf numFmtId="0" fontId="8" fillId="2" borderId="3" xfId="1" applyFont="1" applyFill="1" applyBorder="1" applyAlignment="1">
      <alignment horizontal="center" wrapText="1"/>
    </xf>
    <xf numFmtId="0" fontId="14" fillId="0" borderId="1" xfId="1" applyFont="1" applyBorder="1" applyAlignment="1">
      <alignment horizontal="center" wrapText="1"/>
    </xf>
    <xf numFmtId="43" fontId="8" fillId="2" borderId="16" xfId="1" applyNumberFormat="1" applyFont="1" applyFill="1" applyBorder="1"/>
    <xf numFmtId="0" fontId="8" fillId="2" borderId="5" xfId="1" applyFont="1" applyFill="1" applyBorder="1" applyAlignment="1">
      <alignment horizontal="center" wrapText="1"/>
    </xf>
    <xf numFmtId="4" fontId="10" fillId="2" borderId="5" xfId="1" applyNumberFormat="1" applyFont="1" applyFill="1" applyBorder="1"/>
    <xf numFmtId="0" fontId="8" fillId="3" borderId="1" xfId="1" applyFont="1" applyFill="1" applyBorder="1" applyAlignment="1">
      <alignment horizontal="center" wrapText="1"/>
    </xf>
    <xf numFmtId="43" fontId="10" fillId="3" borderId="1" xfId="1" applyNumberFormat="1" applyFont="1" applyFill="1" applyBorder="1"/>
    <xf numFmtId="43" fontId="8" fillId="3" borderId="16" xfId="1" applyNumberFormat="1" applyFont="1" applyFill="1" applyBorder="1"/>
    <xf numFmtId="49" fontId="5" fillId="0" borderId="0" xfId="1" applyNumberFormat="1" applyFont="1" applyFill="1" applyBorder="1"/>
    <xf numFmtId="43" fontId="5" fillId="0" borderId="3" xfId="2" applyFont="1" applyBorder="1" applyAlignment="1">
      <alignment horizontal="center" wrapText="1"/>
    </xf>
    <xf numFmtId="43" fontId="5" fillId="0" borderId="17" xfId="1" applyNumberFormat="1" applyFont="1" applyBorder="1"/>
    <xf numFmtId="43" fontId="5" fillId="0" borderId="7" xfId="1" applyNumberFormat="1" applyFont="1" applyBorder="1"/>
    <xf numFmtId="164" fontId="1" fillId="0" borderId="0" xfId="2" applyNumberFormat="1" applyFill="1" applyBorder="1"/>
    <xf numFmtId="49" fontId="6" fillId="0" borderId="0" xfId="1" applyNumberFormat="1" applyFont="1" applyFill="1" applyBorder="1"/>
    <xf numFmtId="43" fontId="5" fillId="0" borderId="1" xfId="1" applyNumberFormat="1" applyFont="1" applyFill="1" applyBorder="1"/>
    <xf numFmtId="43" fontId="5" fillId="0" borderId="1" xfId="1" applyNumberFormat="1" applyFont="1" applyBorder="1"/>
    <xf numFmtId="43" fontId="12" fillId="5" borderId="1" xfId="1" applyNumberFormat="1" applyFont="1" applyFill="1" applyBorder="1"/>
    <xf numFmtId="43" fontId="1" fillId="0" borderId="4" xfId="2" applyFill="1" applyBorder="1"/>
    <xf numFmtId="0" fontId="0" fillId="0" borderId="1" xfId="0" applyBorder="1"/>
    <xf numFmtId="43" fontId="15" fillId="0" borderId="1" xfId="2" applyFont="1" applyBorder="1"/>
    <xf numFmtId="0" fontId="15" fillId="0" borderId="1" xfId="0" applyFont="1" applyBorder="1" applyAlignment="1">
      <alignment wrapText="1"/>
    </xf>
    <xf numFmtId="43" fontId="10" fillId="0" borderId="1" xfId="1" applyNumberFormat="1" applyFont="1" applyFill="1" applyBorder="1"/>
    <xf numFmtId="0" fontId="12" fillId="0" borderId="0" xfId="0" applyFont="1" applyBorder="1"/>
    <xf numFmtId="0" fontId="0" fillId="0" borderId="0" xfId="0" applyBorder="1"/>
    <xf numFmtId="43" fontId="0" fillId="0" borderId="0" xfId="2" applyFont="1" applyBorder="1"/>
    <xf numFmtId="43" fontId="0" fillId="0" borderId="0" xfId="2" applyFont="1"/>
    <xf numFmtId="49" fontId="6" fillId="0" borderId="1" xfId="0" applyNumberFormat="1" applyFont="1" applyBorder="1" applyAlignment="1">
      <alignment wrapText="1"/>
    </xf>
    <xf numFmtId="0" fontId="0" fillId="0" borderId="1" xfId="0" applyBorder="1" applyAlignment="1">
      <alignment wrapText="1"/>
    </xf>
    <xf numFmtId="43" fontId="1" fillId="0" borderId="1" xfId="2" applyBorder="1"/>
    <xf numFmtId="43" fontId="1" fillId="5" borderId="1" xfId="2" applyFont="1" applyFill="1" applyBorder="1"/>
    <xf numFmtId="43" fontId="0" fillId="0" borderId="1" xfId="2" applyFont="1" applyBorder="1"/>
    <xf numFmtId="4" fontId="0" fillId="0" borderId="1" xfId="0" applyNumberFormat="1" applyBorder="1"/>
    <xf numFmtId="4" fontId="0" fillId="5" borderId="5" xfId="0" applyNumberFormat="1" applyFill="1" applyBorder="1"/>
    <xf numFmtId="0" fontId="0" fillId="0" borderId="1" xfId="0" applyFill="1" applyBorder="1"/>
    <xf numFmtId="37" fontId="1" fillId="0" borderId="1" xfId="2" applyNumberFormat="1" applyFill="1" applyBorder="1"/>
    <xf numFmtId="49" fontId="0" fillId="0" borderId="1" xfId="0" applyNumberFormat="1" applyFill="1" applyBorder="1"/>
    <xf numFmtId="49" fontId="0" fillId="0" borderId="0" xfId="0" applyNumberFormat="1" applyFill="1" applyBorder="1"/>
    <xf numFmtId="0" fontId="0" fillId="0" borderId="0" xfId="0" applyFill="1" applyBorder="1"/>
    <xf numFmtId="49" fontId="0" fillId="0" borderId="0" xfId="0" applyNumberFormat="1" applyFill="1" applyBorder="1" applyAlignment="1">
      <alignment wrapText="1"/>
    </xf>
    <xf numFmtId="43" fontId="12" fillId="5" borderId="16" xfId="0" applyNumberFormat="1" applyFont="1" applyFill="1" applyBorder="1"/>
    <xf numFmtId="43" fontId="0" fillId="0" borderId="1" xfId="4" applyFont="1" applyFill="1" applyBorder="1"/>
    <xf numFmtId="49" fontId="17" fillId="0" borderId="12" xfId="0" applyNumberFormat="1" applyFont="1" applyFill="1" applyBorder="1"/>
    <xf numFmtId="43" fontId="12" fillId="5" borderId="18" xfId="2" applyFont="1" applyFill="1" applyBorder="1"/>
    <xf numFmtId="43" fontId="5" fillId="0" borderId="4" xfId="2" applyFont="1" applyBorder="1"/>
    <xf numFmtId="0" fontId="5" fillId="0" borderId="3" xfId="1" applyFont="1" applyBorder="1" applyAlignment="1">
      <alignment horizontal="center"/>
    </xf>
    <xf numFmtId="0" fontId="1" fillId="0" borderId="0" xfId="1" applyFont="1"/>
    <xf numFmtId="0" fontId="15" fillId="0" borderId="0" xfId="0" applyFont="1"/>
    <xf numFmtId="49" fontId="1" fillId="0" borderId="1" xfId="0" applyNumberFormat="1" applyFont="1" applyBorder="1" applyAlignment="1">
      <alignment wrapText="1"/>
    </xf>
    <xf numFmtId="43" fontId="5" fillId="5" borderId="4" xfId="2" applyFont="1" applyFill="1" applyBorder="1"/>
    <xf numFmtId="43" fontId="0" fillId="6" borderId="1" xfId="0" applyNumberFormat="1" applyFill="1" applyBorder="1"/>
    <xf numFmtId="43" fontId="5" fillId="6" borderId="4" xfId="2" applyFont="1" applyFill="1" applyBorder="1"/>
    <xf numFmtId="43" fontId="12" fillId="6" borderId="16" xfId="0" applyNumberFormat="1" applyFont="1" applyFill="1" applyBorder="1"/>
    <xf numFmtId="0" fontId="0" fillId="0" borderId="1" xfId="0" applyBorder="1" applyAlignment="1">
      <alignment horizontal="center" wrapText="1"/>
    </xf>
    <xf numFmtId="9" fontId="0" fillId="0" borderId="1" xfId="0" applyNumberFormat="1" applyBorder="1"/>
    <xf numFmtId="9" fontId="0" fillId="0" borderId="1" xfId="0" applyNumberFormat="1" applyFill="1" applyBorder="1"/>
    <xf numFmtId="0" fontId="2" fillId="0" borderId="0" xfId="1" applyFont="1" applyBorder="1" applyAlignment="1">
      <alignment horizontal="center"/>
    </xf>
    <xf numFmtId="0" fontId="1" fillId="0" borderId="0" xfId="1" applyBorder="1" applyAlignment="1">
      <alignment horizontal="center"/>
    </xf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49" fontId="1" fillId="0" borderId="1" xfId="0" applyNumberFormat="1" applyFont="1" applyBorder="1" applyAlignment="1">
      <alignment wrapText="1"/>
    </xf>
    <xf numFmtId="0" fontId="0" fillId="0" borderId="1" xfId="0" applyBorder="1" applyAlignment="1">
      <alignment wrapText="1"/>
    </xf>
    <xf numFmtId="49" fontId="0" fillId="0" borderId="0" xfId="0" applyNumberFormat="1" applyBorder="1" applyAlignment="1">
      <alignment wrapText="1"/>
    </xf>
    <xf numFmtId="0" fontId="0" fillId="0" borderId="0" xfId="0" applyBorder="1" applyAlignment="1">
      <alignment wrapText="1"/>
    </xf>
    <xf numFmtId="49" fontId="17" fillId="0" borderId="1" xfId="0" applyNumberFormat="1" applyFont="1" applyFill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43" fontId="5" fillId="0" borderId="5" xfId="2" applyFont="1" applyBorder="1" applyAlignment="1">
      <alignment horizontal="center" wrapText="1"/>
    </xf>
    <xf numFmtId="43" fontId="5" fillId="0" borderId="3" xfId="2" applyFont="1" applyBorder="1" applyAlignment="1">
      <alignment horizontal="center" wrapText="1"/>
    </xf>
    <xf numFmtId="43" fontId="18" fillId="0" borderId="5" xfId="1" applyNumberFormat="1" applyFont="1" applyFill="1" applyBorder="1" applyAlignment="1">
      <alignment horizontal="center"/>
    </xf>
    <xf numFmtId="43" fontId="18" fillId="0" borderId="2" xfId="1" applyNumberFormat="1" applyFont="1" applyFill="1" applyBorder="1" applyAlignment="1">
      <alignment horizontal="center"/>
    </xf>
    <xf numFmtId="43" fontId="18" fillId="0" borderId="3" xfId="1" applyNumberFormat="1" applyFont="1" applyFill="1" applyBorder="1" applyAlignment="1">
      <alignment horizontal="center"/>
    </xf>
  </cellXfs>
  <cellStyles count="5">
    <cellStyle name="Comma" xfId="4" builtinId="3"/>
    <cellStyle name="Comma 2" xfId="2"/>
    <cellStyle name="Normal" xfId="0" builtinId="0"/>
    <cellStyle name="Normal 2" xfId="3"/>
    <cellStyle name="Normal 3" xfId="1"/>
  </cellStyles>
  <dxfs count="0"/>
  <tableStyles count="0" defaultTableStyle="TableStyleMedium2" defaultPivotStyle="PivotStyleLight16"/>
  <colors>
    <mruColors>
      <color rgb="FFCCFFCC"/>
      <color rgb="FFFFFF99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609600</xdr:colOff>
          <xdr:row>24</xdr:row>
          <xdr:rowOff>180975</xdr:rowOff>
        </xdr:from>
        <xdr:to>
          <xdr:col>5</xdr:col>
          <xdr:colOff>57150</xdr:colOff>
          <xdr:row>26</xdr:row>
          <xdr:rowOff>47625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561975</xdr:colOff>
          <xdr:row>28</xdr:row>
          <xdr:rowOff>76200</xdr:rowOff>
        </xdr:from>
        <xdr:to>
          <xdr:col>5</xdr:col>
          <xdr:colOff>0</xdr:colOff>
          <xdr:row>29</xdr:row>
          <xdr:rowOff>57150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590550</xdr:colOff>
          <xdr:row>26</xdr:row>
          <xdr:rowOff>180975</xdr:rowOff>
        </xdr:from>
        <xdr:to>
          <xdr:col>5</xdr:col>
          <xdr:colOff>19050</xdr:colOff>
          <xdr:row>27</xdr:row>
          <xdr:rowOff>219075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43"/>
  <sheetViews>
    <sheetView tabSelected="1" topLeftCell="G7" workbookViewId="0">
      <selection activeCell="V19" sqref="V19"/>
    </sheetView>
  </sheetViews>
  <sheetFormatPr defaultRowHeight="15" x14ac:dyDescent="0.25"/>
  <cols>
    <col min="2" max="2" width="10.42578125" customWidth="1"/>
    <col min="3" max="3" width="15.85546875" customWidth="1"/>
    <col min="4" max="4" width="11.5703125" customWidth="1"/>
    <col min="5" max="5" width="12.28515625" customWidth="1"/>
    <col min="6" max="6" width="11.85546875" customWidth="1"/>
    <col min="7" max="7" width="10.5703125" bestFit="1" customWidth="1"/>
    <col min="11" max="11" width="11.140625" customWidth="1"/>
    <col min="12" max="12" width="10.7109375" customWidth="1"/>
    <col min="13" max="13" width="11.5703125" customWidth="1"/>
    <col min="14" max="14" width="10.140625" customWidth="1"/>
    <col min="15" max="15" width="11.140625" customWidth="1"/>
    <col min="16" max="16" width="10.7109375" customWidth="1"/>
    <col min="19" max="19" width="10.28515625" customWidth="1"/>
    <col min="21" max="21" width="11.85546875" customWidth="1"/>
    <col min="22" max="22" width="12.140625" customWidth="1"/>
  </cols>
  <sheetData>
    <row r="1" spans="1:22" ht="20.25" x14ac:dyDescent="0.3">
      <c r="A1" s="135" t="s">
        <v>114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51"/>
    </row>
    <row r="2" spans="1:22" ht="20.25" x14ac:dyDescent="0.3">
      <c r="A2" s="137" t="s">
        <v>9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51"/>
    </row>
    <row r="3" spans="1:22" ht="20.25" x14ac:dyDescent="0.3">
      <c r="A3" s="137" t="s">
        <v>10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51"/>
    </row>
    <row r="4" spans="1:22" ht="20.25" x14ac:dyDescent="0.3">
      <c r="A4" s="137" t="s">
        <v>67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51"/>
    </row>
    <row r="5" spans="1:22" ht="20.25" x14ac:dyDescent="0.3">
      <c r="A5" s="139" t="s">
        <v>11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51"/>
    </row>
    <row r="6" spans="1:22" x14ac:dyDescent="0.25">
      <c r="A6" s="79" t="s">
        <v>68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</row>
    <row r="7" spans="1:22" x14ac:dyDescent="0.25">
      <c r="A7" s="52"/>
      <c r="B7" s="52"/>
      <c r="C7" s="52"/>
      <c r="D7" s="52"/>
      <c r="E7" s="53"/>
      <c r="F7" s="53"/>
      <c r="G7" s="149" t="s">
        <v>12</v>
      </c>
      <c r="H7" s="150"/>
      <c r="I7" s="89"/>
      <c r="J7" s="89"/>
      <c r="K7" s="54">
        <v>2014</v>
      </c>
      <c r="L7" s="54">
        <v>2015</v>
      </c>
      <c r="M7" s="75"/>
      <c r="N7" s="55"/>
      <c r="O7" s="148" t="s">
        <v>13</v>
      </c>
      <c r="P7" s="146"/>
      <c r="Q7" s="146"/>
      <c r="R7" s="147"/>
      <c r="S7" s="146" t="s">
        <v>14</v>
      </c>
      <c r="T7" s="147"/>
      <c r="U7" s="76"/>
      <c r="V7" s="75"/>
    </row>
    <row r="8" spans="1:22" ht="69" customHeight="1" x14ac:dyDescent="0.25">
      <c r="A8" s="56" t="s">
        <v>15</v>
      </c>
      <c r="B8" s="56" t="s">
        <v>16</v>
      </c>
      <c r="C8" s="57" t="s">
        <v>17</v>
      </c>
      <c r="D8" s="61" t="s">
        <v>71</v>
      </c>
      <c r="E8" s="60" t="s">
        <v>57</v>
      </c>
      <c r="F8" s="59" t="s">
        <v>72</v>
      </c>
      <c r="G8" s="58" t="s">
        <v>25</v>
      </c>
      <c r="H8" s="58" t="s">
        <v>18</v>
      </c>
      <c r="I8" s="61" t="s">
        <v>26</v>
      </c>
      <c r="J8" s="58" t="s">
        <v>117</v>
      </c>
      <c r="K8" s="58" t="s">
        <v>69</v>
      </c>
      <c r="L8" s="58" t="s">
        <v>70</v>
      </c>
      <c r="M8" s="80" t="s">
        <v>19</v>
      </c>
      <c r="N8" s="57" t="s">
        <v>20</v>
      </c>
      <c r="O8" s="81" t="s">
        <v>21</v>
      </c>
      <c r="P8" s="81" t="s">
        <v>115</v>
      </c>
      <c r="Q8" s="81" t="s">
        <v>111</v>
      </c>
      <c r="R8" s="81" t="s">
        <v>119</v>
      </c>
      <c r="S8" s="78" t="s">
        <v>22</v>
      </c>
      <c r="T8" s="62" t="s">
        <v>23</v>
      </c>
      <c r="U8" s="83" t="s">
        <v>24</v>
      </c>
      <c r="V8" s="85" t="s">
        <v>27</v>
      </c>
    </row>
    <row r="9" spans="1:22" ht="42" customHeight="1" x14ac:dyDescent="0.25">
      <c r="A9" s="63" t="s">
        <v>29</v>
      </c>
      <c r="B9" s="98" t="s">
        <v>39</v>
      </c>
      <c r="C9" s="100" t="s">
        <v>40</v>
      </c>
      <c r="D9" s="99">
        <v>61155</v>
      </c>
      <c r="E9" s="97">
        <f>SUM(D9)</f>
        <v>61155</v>
      </c>
      <c r="F9" s="64">
        <f>E9*1.03</f>
        <v>62989.65</v>
      </c>
      <c r="G9" s="65">
        <f>E9/26/80</f>
        <v>29.40144230769231</v>
      </c>
      <c r="H9" s="65">
        <f>F9/26/80</f>
        <v>30.283485576923077</v>
      </c>
      <c r="I9" s="66">
        <v>704</v>
      </c>
      <c r="J9" s="66">
        <v>1384</v>
      </c>
      <c r="K9" s="67">
        <f>G9*I9</f>
        <v>20698.615384615387</v>
      </c>
      <c r="L9" s="67">
        <f>H9*J9</f>
        <v>41912.344038461539</v>
      </c>
      <c r="M9" s="101">
        <f>SUM(K9:L9)</f>
        <v>62610.959423076929</v>
      </c>
      <c r="N9" s="67">
        <f>M9/12</f>
        <v>5217.5799519230777</v>
      </c>
      <c r="O9" s="77">
        <f>M9*0.0765</f>
        <v>4789.7383958653854</v>
      </c>
      <c r="P9" s="77">
        <f>M9*0.1128</f>
        <v>7062.5162229230773</v>
      </c>
      <c r="Q9" s="77">
        <f>M9*0.0057</f>
        <v>356.88246871153854</v>
      </c>
      <c r="R9" s="77">
        <f>M9*0.0094</f>
        <v>588.54301857692315</v>
      </c>
      <c r="S9" s="68">
        <f>ROUND((469*3)+(492.45*9),2)</f>
        <v>5839.05</v>
      </c>
      <c r="T9" s="67">
        <f>ROUND((E9/D9)*37.56,2)</f>
        <v>37.56</v>
      </c>
      <c r="U9" s="84">
        <f>SUM(O9:T9)</f>
        <v>18674.290106076925</v>
      </c>
      <c r="V9" s="86">
        <f>M9+U9</f>
        <v>81285.249529153851</v>
      </c>
    </row>
    <row r="10" spans="1:22" ht="42" customHeight="1" x14ac:dyDescent="0.25">
      <c r="A10" s="69" t="s">
        <v>30</v>
      </c>
      <c r="B10" s="98" t="s">
        <v>41</v>
      </c>
      <c r="C10" s="100" t="s">
        <v>42</v>
      </c>
      <c r="D10" s="99">
        <v>44794</v>
      </c>
      <c r="E10" s="97">
        <f t="shared" ref="E10:E18" si="0">SUM(D10)</f>
        <v>44794</v>
      </c>
      <c r="F10" s="64">
        <f t="shared" ref="F10:F18" si="1">E10*1.03</f>
        <v>46137.82</v>
      </c>
      <c r="G10" s="65">
        <f t="shared" ref="G10:G18" si="2">E10/26/80</f>
        <v>21.535576923076924</v>
      </c>
      <c r="H10" s="65">
        <f t="shared" ref="H10:H18" si="3">F10/26/80</f>
        <v>22.18164423076923</v>
      </c>
      <c r="I10" s="66">
        <v>704</v>
      </c>
      <c r="J10" s="66">
        <v>1384</v>
      </c>
      <c r="K10" s="67">
        <f t="shared" ref="K10:K18" si="4">G10*I10</f>
        <v>15161.046153846155</v>
      </c>
      <c r="L10" s="67">
        <f t="shared" ref="L10:L18" si="5">H10*J10</f>
        <v>30699.395615384616</v>
      </c>
      <c r="M10" s="101">
        <f t="shared" ref="M10:M18" si="6">SUM(K10:L10)</f>
        <v>45860.441769230769</v>
      </c>
      <c r="N10" s="67">
        <f t="shared" ref="N10:N18" si="7">M10/12</f>
        <v>3821.7034807692307</v>
      </c>
      <c r="O10" s="77">
        <f t="shared" ref="O10:O18" si="8">M10*0.0765</f>
        <v>3508.3237953461539</v>
      </c>
      <c r="P10" s="77">
        <f t="shared" ref="P10:P18" si="9">M10*0.1128</f>
        <v>5173.057831569231</v>
      </c>
      <c r="Q10" s="77">
        <f>M10*0.0057</f>
        <v>261.4045180846154</v>
      </c>
      <c r="R10" s="77">
        <f t="shared" ref="R10:R16" si="10">M10*0.0094</f>
        <v>431.08815263076923</v>
      </c>
      <c r="S10" s="68">
        <f t="shared" ref="S10:S18" si="11">ROUND((469*3)+(492.45*9),2)</f>
        <v>5839.05</v>
      </c>
      <c r="T10" s="67">
        <f t="shared" ref="T10:T18" si="12">ROUND((E10/D10)*37.56,2)</f>
        <v>37.56</v>
      </c>
      <c r="U10" s="84">
        <f t="shared" ref="U10:U18" si="13">SUM(O10:T10)</f>
        <v>15250.484297630768</v>
      </c>
      <c r="V10" s="86">
        <f t="shared" ref="V10:V18" si="14">M10+U10</f>
        <v>61110.926066861539</v>
      </c>
    </row>
    <row r="11" spans="1:22" ht="44.25" customHeight="1" x14ac:dyDescent="0.25">
      <c r="A11" s="69" t="s">
        <v>31</v>
      </c>
      <c r="B11" s="98" t="s">
        <v>43</v>
      </c>
      <c r="C11" s="100" t="s">
        <v>44</v>
      </c>
      <c r="D11" s="99">
        <v>44794</v>
      </c>
      <c r="E11" s="97">
        <f t="shared" si="0"/>
        <v>44794</v>
      </c>
      <c r="F11" s="64">
        <f t="shared" si="1"/>
        <v>46137.82</v>
      </c>
      <c r="G11" s="65">
        <f t="shared" si="2"/>
        <v>21.535576923076924</v>
      </c>
      <c r="H11" s="65">
        <f t="shared" si="3"/>
        <v>22.18164423076923</v>
      </c>
      <c r="I11" s="66">
        <v>704</v>
      </c>
      <c r="J11" s="66">
        <v>1384</v>
      </c>
      <c r="K11" s="67">
        <f t="shared" si="4"/>
        <v>15161.046153846155</v>
      </c>
      <c r="L11" s="67">
        <f t="shared" si="5"/>
        <v>30699.395615384616</v>
      </c>
      <c r="M11" s="101">
        <f t="shared" si="6"/>
        <v>45860.441769230769</v>
      </c>
      <c r="N11" s="67">
        <f t="shared" si="7"/>
        <v>3821.7034807692307</v>
      </c>
      <c r="O11" s="77">
        <f t="shared" si="8"/>
        <v>3508.3237953461539</v>
      </c>
      <c r="P11" s="77">
        <f t="shared" si="9"/>
        <v>5173.057831569231</v>
      </c>
      <c r="Q11" s="77">
        <f t="shared" ref="Q11:Q18" si="15">M11*0.0057</f>
        <v>261.4045180846154</v>
      </c>
      <c r="R11" s="77">
        <f t="shared" si="10"/>
        <v>431.08815263076923</v>
      </c>
      <c r="S11" s="68">
        <f t="shared" si="11"/>
        <v>5839.05</v>
      </c>
      <c r="T11" s="67">
        <f t="shared" si="12"/>
        <v>37.56</v>
      </c>
      <c r="U11" s="84">
        <f t="shared" si="13"/>
        <v>15250.484297630768</v>
      </c>
      <c r="V11" s="86">
        <f t="shared" si="14"/>
        <v>61110.926066861539</v>
      </c>
    </row>
    <row r="12" spans="1:22" ht="30.75" customHeight="1" x14ac:dyDescent="0.25">
      <c r="A12" s="69" t="s">
        <v>32</v>
      </c>
      <c r="B12" s="98" t="s">
        <v>45</v>
      </c>
      <c r="C12" s="100" t="s">
        <v>46</v>
      </c>
      <c r="D12" s="99">
        <v>44794</v>
      </c>
      <c r="E12" s="97">
        <f t="shared" si="0"/>
        <v>44794</v>
      </c>
      <c r="F12" s="64">
        <f t="shared" si="1"/>
        <v>46137.82</v>
      </c>
      <c r="G12" s="65">
        <f t="shared" si="2"/>
        <v>21.535576923076924</v>
      </c>
      <c r="H12" s="65">
        <f t="shared" si="3"/>
        <v>22.18164423076923</v>
      </c>
      <c r="I12" s="66">
        <v>704</v>
      </c>
      <c r="J12" s="66">
        <v>1384</v>
      </c>
      <c r="K12" s="67">
        <f t="shared" si="4"/>
        <v>15161.046153846155</v>
      </c>
      <c r="L12" s="67">
        <f t="shared" si="5"/>
        <v>30699.395615384616</v>
      </c>
      <c r="M12" s="101">
        <f t="shared" si="6"/>
        <v>45860.441769230769</v>
      </c>
      <c r="N12" s="67">
        <f t="shared" si="7"/>
        <v>3821.7034807692307</v>
      </c>
      <c r="O12" s="77">
        <f t="shared" si="8"/>
        <v>3508.3237953461539</v>
      </c>
      <c r="P12" s="77">
        <f t="shared" si="9"/>
        <v>5173.057831569231</v>
      </c>
      <c r="Q12" s="77">
        <f t="shared" si="15"/>
        <v>261.4045180846154</v>
      </c>
      <c r="R12" s="77">
        <f t="shared" si="10"/>
        <v>431.08815263076923</v>
      </c>
      <c r="S12" s="68">
        <f t="shared" si="11"/>
        <v>5839.05</v>
      </c>
      <c r="T12" s="67">
        <f t="shared" si="12"/>
        <v>37.56</v>
      </c>
      <c r="U12" s="84">
        <f t="shared" si="13"/>
        <v>15250.484297630768</v>
      </c>
      <c r="V12" s="86">
        <f t="shared" si="14"/>
        <v>61110.926066861539</v>
      </c>
    </row>
    <row r="13" spans="1:22" ht="36.75" customHeight="1" x14ac:dyDescent="0.25">
      <c r="A13" s="69" t="s">
        <v>33</v>
      </c>
      <c r="B13" s="98" t="s">
        <v>47</v>
      </c>
      <c r="C13" s="100" t="s">
        <v>48</v>
      </c>
      <c r="D13" s="99">
        <v>31404</v>
      </c>
      <c r="E13" s="97">
        <f t="shared" si="0"/>
        <v>31404</v>
      </c>
      <c r="F13" s="64">
        <f t="shared" si="1"/>
        <v>32346.120000000003</v>
      </c>
      <c r="G13" s="65">
        <f t="shared" si="2"/>
        <v>15.098076923076922</v>
      </c>
      <c r="H13" s="65">
        <f t="shared" si="3"/>
        <v>15.551019230769231</v>
      </c>
      <c r="I13" s="66">
        <v>704</v>
      </c>
      <c r="J13" s="66">
        <v>1384</v>
      </c>
      <c r="K13" s="67">
        <f t="shared" si="4"/>
        <v>10629.046153846153</v>
      </c>
      <c r="L13" s="67">
        <f t="shared" si="5"/>
        <v>21522.610615384616</v>
      </c>
      <c r="M13" s="101">
        <f t="shared" si="6"/>
        <v>32151.656769230769</v>
      </c>
      <c r="N13" s="67">
        <f t="shared" si="7"/>
        <v>2679.3047307692309</v>
      </c>
      <c r="O13" s="77">
        <f t="shared" si="8"/>
        <v>2459.6017428461537</v>
      </c>
      <c r="P13" s="77">
        <f t="shared" si="9"/>
        <v>3626.7068835692307</v>
      </c>
      <c r="Q13" s="77">
        <f t="shared" si="15"/>
        <v>183.26444358461538</v>
      </c>
      <c r="R13" s="77">
        <f t="shared" si="10"/>
        <v>302.22557363076925</v>
      </c>
      <c r="S13" s="68">
        <f t="shared" si="11"/>
        <v>5839.05</v>
      </c>
      <c r="T13" s="67">
        <f t="shared" si="12"/>
        <v>37.56</v>
      </c>
      <c r="U13" s="84">
        <f t="shared" si="13"/>
        <v>12448.408643630768</v>
      </c>
      <c r="V13" s="86">
        <f t="shared" si="14"/>
        <v>44600.065412861535</v>
      </c>
    </row>
    <row r="14" spans="1:22" ht="45.75" customHeight="1" x14ac:dyDescent="0.25">
      <c r="A14" s="69" t="s">
        <v>34</v>
      </c>
      <c r="B14" s="98" t="s">
        <v>49</v>
      </c>
      <c r="C14" s="100" t="s">
        <v>50</v>
      </c>
      <c r="D14" s="99">
        <v>56162</v>
      </c>
      <c r="E14" s="97">
        <f t="shared" si="0"/>
        <v>56162</v>
      </c>
      <c r="F14" s="64">
        <f t="shared" si="1"/>
        <v>57846.86</v>
      </c>
      <c r="G14" s="65">
        <f t="shared" si="2"/>
        <v>27.000961538461535</v>
      </c>
      <c r="H14" s="65">
        <f t="shared" si="3"/>
        <v>27.810990384615383</v>
      </c>
      <c r="I14" s="66">
        <v>704</v>
      </c>
      <c r="J14" s="66">
        <v>1384</v>
      </c>
      <c r="K14" s="67">
        <f t="shared" si="4"/>
        <v>19008.676923076921</v>
      </c>
      <c r="L14" s="67">
        <f t="shared" si="5"/>
        <v>38490.410692307691</v>
      </c>
      <c r="M14" s="101">
        <f t="shared" si="6"/>
        <v>57499.087615384611</v>
      </c>
      <c r="N14" s="67">
        <f t="shared" si="7"/>
        <v>4791.5906346153843</v>
      </c>
      <c r="O14" s="77">
        <f t="shared" si="8"/>
        <v>4398.680202576923</v>
      </c>
      <c r="P14" s="77">
        <f t="shared" si="9"/>
        <v>6485.8970830153839</v>
      </c>
      <c r="Q14" s="77">
        <f t="shared" si="15"/>
        <v>327.74479940769231</v>
      </c>
      <c r="R14" s="77">
        <f t="shared" si="10"/>
        <v>540.4914235846154</v>
      </c>
      <c r="S14" s="68">
        <f t="shared" si="11"/>
        <v>5839.05</v>
      </c>
      <c r="T14" s="67">
        <f t="shared" si="12"/>
        <v>37.56</v>
      </c>
      <c r="U14" s="84">
        <f t="shared" si="13"/>
        <v>17629.423508584616</v>
      </c>
      <c r="V14" s="86">
        <f t="shared" si="14"/>
        <v>75128.51112396922</v>
      </c>
    </row>
    <row r="15" spans="1:22" ht="40.5" customHeight="1" x14ac:dyDescent="0.25">
      <c r="A15" s="69" t="s">
        <v>35</v>
      </c>
      <c r="B15" s="98" t="s">
        <v>51</v>
      </c>
      <c r="C15" s="100" t="s">
        <v>52</v>
      </c>
      <c r="D15" s="99">
        <v>35391</v>
      </c>
      <c r="E15" s="97">
        <f t="shared" si="0"/>
        <v>35391</v>
      </c>
      <c r="F15" s="64">
        <f t="shared" si="1"/>
        <v>36452.730000000003</v>
      </c>
      <c r="G15" s="65">
        <f t="shared" si="2"/>
        <v>17.014903846153846</v>
      </c>
      <c r="H15" s="65">
        <f t="shared" si="3"/>
        <v>17.525350961538464</v>
      </c>
      <c r="I15" s="66">
        <v>704</v>
      </c>
      <c r="J15" s="66">
        <v>1384</v>
      </c>
      <c r="K15" s="67">
        <f t="shared" si="4"/>
        <v>11978.492307692308</v>
      </c>
      <c r="L15" s="67">
        <f t="shared" si="5"/>
        <v>24255.085730769235</v>
      </c>
      <c r="M15" s="101">
        <f t="shared" si="6"/>
        <v>36233.578038461543</v>
      </c>
      <c r="N15" s="67">
        <f t="shared" si="7"/>
        <v>3019.4648365384619</v>
      </c>
      <c r="O15" s="77">
        <f t="shared" si="8"/>
        <v>2771.868719942308</v>
      </c>
      <c r="P15" s="77">
        <f t="shared" si="9"/>
        <v>4087.147602738462</v>
      </c>
      <c r="Q15" s="77">
        <f t="shared" si="15"/>
        <v>206.5313948192308</v>
      </c>
      <c r="R15" s="77">
        <f t="shared" si="10"/>
        <v>340.59563356153853</v>
      </c>
      <c r="S15" s="68">
        <f t="shared" si="11"/>
        <v>5839.05</v>
      </c>
      <c r="T15" s="67">
        <f t="shared" si="12"/>
        <v>37.56</v>
      </c>
      <c r="U15" s="84">
        <f t="shared" si="13"/>
        <v>13282.753351061538</v>
      </c>
      <c r="V15" s="86">
        <f t="shared" si="14"/>
        <v>49516.331389523082</v>
      </c>
    </row>
    <row r="16" spans="1:22" ht="43.5" customHeight="1" x14ac:dyDescent="0.25">
      <c r="A16" s="69" t="s">
        <v>36</v>
      </c>
      <c r="B16" s="98" t="s">
        <v>53</v>
      </c>
      <c r="C16" s="100" t="s">
        <v>54</v>
      </c>
      <c r="D16" s="99">
        <v>41280</v>
      </c>
      <c r="E16" s="97">
        <f t="shared" si="0"/>
        <v>41280</v>
      </c>
      <c r="F16" s="64">
        <f t="shared" si="1"/>
        <v>42518.400000000001</v>
      </c>
      <c r="G16" s="65">
        <f t="shared" si="2"/>
        <v>19.846153846153847</v>
      </c>
      <c r="H16" s="65">
        <f t="shared" si="3"/>
        <v>20.441538461538464</v>
      </c>
      <c r="I16" s="66">
        <v>704</v>
      </c>
      <c r="J16" s="66">
        <v>1384</v>
      </c>
      <c r="K16" s="67">
        <f t="shared" si="4"/>
        <v>13971.692307692309</v>
      </c>
      <c r="L16" s="67">
        <f t="shared" si="5"/>
        <v>28291.089230769234</v>
      </c>
      <c r="M16" s="101">
        <f t="shared" si="6"/>
        <v>42262.781538461539</v>
      </c>
      <c r="N16" s="67">
        <f t="shared" si="7"/>
        <v>3521.8984615384616</v>
      </c>
      <c r="O16" s="77">
        <f t="shared" si="8"/>
        <v>3233.1027876923076</v>
      </c>
      <c r="P16" s="77">
        <f t="shared" si="9"/>
        <v>4767.2417575384616</v>
      </c>
      <c r="Q16" s="77">
        <f t="shared" si="15"/>
        <v>240.89785476923078</v>
      </c>
      <c r="R16" s="77">
        <f t="shared" si="10"/>
        <v>397.2701464615385</v>
      </c>
      <c r="S16" s="68">
        <f t="shared" si="11"/>
        <v>5839.05</v>
      </c>
      <c r="T16" s="67">
        <f t="shared" si="12"/>
        <v>37.56</v>
      </c>
      <c r="U16" s="84">
        <f t="shared" si="13"/>
        <v>14515.12254646154</v>
      </c>
      <c r="V16" s="86">
        <f t="shared" si="14"/>
        <v>56777.904084923081</v>
      </c>
    </row>
    <row r="17" spans="1:22" ht="38.25" customHeight="1" x14ac:dyDescent="0.25">
      <c r="A17" s="69" t="s">
        <v>37</v>
      </c>
      <c r="B17" s="98" t="s">
        <v>55</v>
      </c>
      <c r="C17" s="100" t="s">
        <v>52</v>
      </c>
      <c r="D17" s="99">
        <v>35391</v>
      </c>
      <c r="E17" s="97">
        <f t="shared" si="0"/>
        <v>35391</v>
      </c>
      <c r="F17" s="64">
        <f t="shared" si="1"/>
        <v>36452.730000000003</v>
      </c>
      <c r="G17" s="65">
        <f t="shared" si="2"/>
        <v>17.014903846153846</v>
      </c>
      <c r="H17" s="65">
        <f t="shared" si="3"/>
        <v>17.525350961538464</v>
      </c>
      <c r="I17" s="66">
        <v>704</v>
      </c>
      <c r="J17" s="66">
        <v>1384</v>
      </c>
      <c r="K17" s="67">
        <f t="shared" si="4"/>
        <v>11978.492307692308</v>
      </c>
      <c r="L17" s="67">
        <f t="shared" si="5"/>
        <v>24255.085730769235</v>
      </c>
      <c r="M17" s="151" t="s">
        <v>116</v>
      </c>
      <c r="N17" s="152"/>
      <c r="O17" s="152"/>
      <c r="P17" s="152"/>
      <c r="Q17" s="152"/>
      <c r="R17" s="152"/>
      <c r="S17" s="152"/>
      <c r="T17" s="152"/>
      <c r="U17" s="152"/>
      <c r="V17" s="153"/>
    </row>
    <row r="18" spans="1:22" ht="36.75" customHeight="1" x14ac:dyDescent="0.25">
      <c r="A18" s="69" t="s">
        <v>38</v>
      </c>
      <c r="B18" s="98" t="s">
        <v>56</v>
      </c>
      <c r="C18" s="100" t="s">
        <v>52</v>
      </c>
      <c r="D18" s="99">
        <v>35391</v>
      </c>
      <c r="E18" s="97">
        <f t="shared" si="0"/>
        <v>35391</v>
      </c>
      <c r="F18" s="64">
        <f t="shared" si="1"/>
        <v>36452.730000000003</v>
      </c>
      <c r="G18" s="65">
        <f t="shared" si="2"/>
        <v>17.014903846153846</v>
      </c>
      <c r="H18" s="65">
        <f t="shared" si="3"/>
        <v>17.525350961538464</v>
      </c>
      <c r="I18" s="66">
        <v>704</v>
      </c>
      <c r="J18" s="66">
        <v>1384</v>
      </c>
      <c r="K18" s="67">
        <f t="shared" si="4"/>
        <v>11978.492307692308</v>
      </c>
      <c r="L18" s="67">
        <f t="shared" si="5"/>
        <v>24255.085730769235</v>
      </c>
      <c r="M18" s="101">
        <f t="shared" si="6"/>
        <v>36233.578038461543</v>
      </c>
      <c r="N18" s="67">
        <f t="shared" si="7"/>
        <v>3019.4648365384619</v>
      </c>
      <c r="O18" s="77">
        <f t="shared" si="8"/>
        <v>2771.868719942308</v>
      </c>
      <c r="P18" s="77">
        <f t="shared" si="9"/>
        <v>4087.147602738462</v>
      </c>
      <c r="Q18" s="77">
        <f t="shared" si="15"/>
        <v>206.5313948192308</v>
      </c>
      <c r="R18" s="77">
        <f>M18*0.0094</f>
        <v>340.59563356153853</v>
      </c>
      <c r="S18" s="68">
        <f t="shared" si="11"/>
        <v>5839.05</v>
      </c>
      <c r="T18" s="67">
        <f t="shared" si="12"/>
        <v>37.56</v>
      </c>
      <c r="U18" s="84">
        <f t="shared" si="13"/>
        <v>13282.753351061538</v>
      </c>
      <c r="V18" s="86">
        <f t="shared" si="14"/>
        <v>49516.331389523082</v>
      </c>
    </row>
    <row r="19" spans="1:22" ht="21" customHeight="1" thickBot="1" x14ac:dyDescent="0.3">
      <c r="A19" s="71"/>
      <c r="B19" s="71"/>
      <c r="C19" s="73"/>
      <c r="D19" s="94">
        <f>SUM(D9:D18)</f>
        <v>430556</v>
      </c>
      <c r="E19" s="94">
        <f>SUM(E9:E18)</f>
        <v>430556</v>
      </c>
      <c r="F19" s="94">
        <f>SUM(F9:F18)</f>
        <v>443472.68</v>
      </c>
      <c r="G19" s="70"/>
      <c r="H19" s="92"/>
      <c r="I19" s="72"/>
      <c r="J19" s="72"/>
      <c r="K19" s="70"/>
      <c r="L19" s="70"/>
      <c r="M19" s="82">
        <f t="shared" ref="M19:R19" si="16">SUM(M9:M18)</f>
        <v>404572.96673076932</v>
      </c>
      <c r="N19" s="91">
        <f t="shared" si="16"/>
        <v>33714.413894230776</v>
      </c>
      <c r="O19" s="90">
        <f t="shared" si="16"/>
        <v>30949.831954903846</v>
      </c>
      <c r="P19" s="95">
        <f t="shared" si="16"/>
        <v>45635.830647230767</v>
      </c>
      <c r="Q19" s="95">
        <f t="shared" si="16"/>
        <v>2306.0659103653848</v>
      </c>
      <c r="R19" s="95">
        <f t="shared" si="16"/>
        <v>3802.9858872692303</v>
      </c>
      <c r="S19" s="95">
        <f t="shared" ref="S19:U19" si="17">SUM(S9:S18)</f>
        <v>52551.450000000012</v>
      </c>
      <c r="T19" s="95">
        <f t="shared" si="17"/>
        <v>338.04</v>
      </c>
      <c r="U19" s="96">
        <f t="shared" si="17"/>
        <v>135584.20439976922</v>
      </c>
      <c r="V19" s="87">
        <f>SUM(V9:V18)</f>
        <v>540157.17113053845</v>
      </c>
    </row>
    <row r="20" spans="1:22" ht="15.75" thickTop="1" x14ac:dyDescent="0.25">
      <c r="A20" s="88"/>
      <c r="B20" s="71"/>
      <c r="C20" s="73"/>
      <c r="D20" s="71"/>
      <c r="E20" s="70"/>
      <c r="F20" s="70"/>
      <c r="G20" s="70"/>
      <c r="H20" s="70"/>
      <c r="I20" s="72"/>
      <c r="J20" s="72"/>
      <c r="K20" s="70"/>
      <c r="L20" s="70"/>
      <c r="M20" s="51"/>
      <c r="N20" s="51"/>
      <c r="O20" s="51"/>
      <c r="P20" s="51"/>
      <c r="Q20" s="51"/>
      <c r="R20" s="51"/>
      <c r="S20" s="51"/>
      <c r="T20" s="51"/>
      <c r="U20" s="51"/>
      <c r="V20" s="51"/>
    </row>
    <row r="21" spans="1:22" x14ac:dyDescent="0.25">
      <c r="A21" s="51">
        <v>1</v>
      </c>
      <c r="B21" s="93" t="s">
        <v>58</v>
      </c>
      <c r="C21" s="73"/>
      <c r="D21" s="71"/>
      <c r="E21" s="70"/>
      <c r="F21" s="70"/>
      <c r="G21" s="70"/>
      <c r="H21" s="70"/>
      <c r="I21" s="72"/>
      <c r="J21" s="72"/>
      <c r="K21" s="70"/>
      <c r="L21" s="70"/>
      <c r="M21" s="51"/>
      <c r="N21" s="51"/>
      <c r="O21" s="51"/>
      <c r="P21" s="51"/>
      <c r="Q21" s="51"/>
      <c r="R21" s="51"/>
      <c r="S21" s="51"/>
      <c r="T21" s="51"/>
      <c r="U21" s="51"/>
      <c r="V21" s="51"/>
    </row>
    <row r="22" spans="1:22" x14ac:dyDescent="0.25">
      <c r="A22" s="51">
        <v>2</v>
      </c>
      <c r="B22" s="93" t="s">
        <v>108</v>
      </c>
      <c r="C22" s="71"/>
      <c r="D22" s="71"/>
      <c r="E22" s="70"/>
      <c r="F22" s="70"/>
      <c r="G22" s="70"/>
      <c r="H22" s="70"/>
      <c r="I22" s="72"/>
      <c r="J22" s="72"/>
      <c r="K22" s="70"/>
      <c r="L22" s="70"/>
      <c r="M22" s="51"/>
      <c r="N22" s="51"/>
      <c r="O22" s="51"/>
      <c r="P22" s="51"/>
      <c r="Q22" s="51"/>
      <c r="R22" s="51"/>
      <c r="S22" s="51"/>
      <c r="T22" s="51"/>
      <c r="U22" s="51"/>
      <c r="V22" s="51"/>
    </row>
    <row r="23" spans="1:22" x14ac:dyDescent="0.25">
      <c r="A23" s="51">
        <v>3</v>
      </c>
      <c r="B23" s="93" t="s">
        <v>109</v>
      </c>
      <c r="C23" s="71"/>
      <c r="D23" s="71"/>
      <c r="E23" s="70"/>
      <c r="F23" s="70"/>
      <c r="G23" s="70"/>
      <c r="H23" s="70"/>
      <c r="I23" s="72"/>
      <c r="J23" s="72"/>
      <c r="K23" s="70"/>
      <c r="L23" s="70"/>
      <c r="M23" s="51"/>
      <c r="N23" s="51"/>
      <c r="O23" s="51"/>
      <c r="P23" s="51"/>
      <c r="Q23" s="51"/>
      <c r="R23" s="51"/>
      <c r="S23" s="51"/>
      <c r="T23" s="51"/>
      <c r="U23" s="51"/>
      <c r="V23" s="51"/>
    </row>
    <row r="24" spans="1:22" x14ac:dyDescent="0.25">
      <c r="A24" s="51">
        <v>4</v>
      </c>
      <c r="B24" s="93" t="s">
        <v>110</v>
      </c>
      <c r="C24" s="71"/>
      <c r="D24" s="71"/>
      <c r="E24" s="70"/>
      <c r="F24" s="70"/>
      <c r="G24" s="70"/>
      <c r="H24" s="70"/>
      <c r="I24" s="72"/>
      <c r="J24" s="72"/>
      <c r="K24" s="70"/>
      <c r="L24" s="70"/>
      <c r="M24" s="51"/>
      <c r="N24" s="51"/>
      <c r="O24" s="51"/>
      <c r="P24" s="51"/>
      <c r="Q24" s="51"/>
      <c r="R24" s="51"/>
      <c r="S24" s="51"/>
      <c r="T24" s="51"/>
      <c r="U24" s="51"/>
      <c r="V24" s="51"/>
    </row>
    <row r="25" spans="1:22" x14ac:dyDescent="0.25">
      <c r="A25" s="51"/>
      <c r="B25" s="71"/>
      <c r="C25" s="73"/>
      <c r="D25" s="71"/>
      <c r="E25" s="70"/>
      <c r="F25" s="70"/>
      <c r="G25" s="70"/>
      <c r="H25" s="70"/>
      <c r="I25" s="72"/>
      <c r="J25" s="72"/>
      <c r="K25" s="70"/>
      <c r="L25" s="70"/>
      <c r="M25" s="51"/>
      <c r="N25" s="51"/>
      <c r="O25" s="51"/>
      <c r="P25" s="51"/>
      <c r="Q25" s="51"/>
      <c r="R25" s="51"/>
      <c r="S25" s="51"/>
      <c r="T25" s="51"/>
      <c r="U25" s="51"/>
      <c r="V25" s="51"/>
    </row>
    <row r="26" spans="1:22" ht="18" customHeight="1" x14ac:dyDescent="0.25">
      <c r="A26" s="51">
        <v>5</v>
      </c>
      <c r="B26" s="93" t="s">
        <v>28</v>
      </c>
      <c r="C26" s="73"/>
      <c r="D26" s="71"/>
      <c r="E26" s="70"/>
      <c r="F26" s="70"/>
      <c r="G26" s="70"/>
      <c r="H26" s="70"/>
      <c r="I26" s="72"/>
      <c r="J26" s="72"/>
      <c r="K26" s="70"/>
      <c r="L26" s="70"/>
      <c r="M26" s="51"/>
      <c r="N26" s="51"/>
      <c r="O26" s="51"/>
      <c r="P26" s="51"/>
      <c r="Q26" s="51"/>
      <c r="R26" s="51"/>
      <c r="S26" s="51"/>
      <c r="T26" s="51"/>
      <c r="U26" s="51"/>
      <c r="V26" s="51"/>
    </row>
    <row r="27" spans="1:22" x14ac:dyDescent="0.25">
      <c r="A27" s="70"/>
      <c r="B27" s="70"/>
      <c r="C27" s="74"/>
      <c r="D27" s="70"/>
      <c r="E27" s="70"/>
      <c r="F27" s="70"/>
      <c r="G27" s="70"/>
      <c r="H27" s="70"/>
      <c r="I27" s="72"/>
      <c r="J27" s="72"/>
      <c r="K27" s="70"/>
      <c r="L27" s="70"/>
      <c r="M27" s="51"/>
      <c r="N27" s="51"/>
      <c r="O27" s="51"/>
      <c r="P27" s="51"/>
      <c r="Q27" s="51"/>
      <c r="R27" s="51"/>
      <c r="S27" s="51"/>
      <c r="T27" s="51"/>
      <c r="U27" s="51"/>
      <c r="V27" s="51"/>
    </row>
    <row r="28" spans="1:22" ht="20.25" customHeight="1" x14ac:dyDescent="0.25">
      <c r="A28" s="51">
        <v>6</v>
      </c>
      <c r="B28" s="125" t="s">
        <v>106</v>
      </c>
      <c r="C28" s="51"/>
      <c r="D28" s="51"/>
      <c r="E28" s="72"/>
      <c r="F28" s="72"/>
      <c r="G28" s="72"/>
      <c r="H28" s="72"/>
      <c r="I28" s="72"/>
      <c r="J28" s="72"/>
      <c r="K28" s="70"/>
      <c r="L28" s="70"/>
      <c r="M28" s="51"/>
      <c r="N28" s="51"/>
      <c r="O28" s="51"/>
      <c r="P28" s="51"/>
      <c r="Q28" s="51"/>
      <c r="R28" s="51"/>
      <c r="S28" s="51"/>
      <c r="T28" s="51"/>
      <c r="U28" s="51"/>
      <c r="V28" s="51"/>
    </row>
    <row r="29" spans="1:22" ht="21.75" customHeight="1" x14ac:dyDescent="0.25">
      <c r="A29" s="126">
        <v>7</v>
      </c>
      <c r="B29" s="126" t="s">
        <v>118</v>
      </c>
    </row>
    <row r="30" spans="1:22" ht="18" customHeight="1" x14ac:dyDescent="0.25">
      <c r="M30" s="75"/>
      <c r="N30" s="124"/>
      <c r="O30" s="148" t="s">
        <v>13</v>
      </c>
      <c r="P30" s="146"/>
      <c r="Q30" s="146"/>
      <c r="R30" s="147"/>
      <c r="S30" s="146" t="s">
        <v>14</v>
      </c>
      <c r="T30" s="147"/>
      <c r="U30" s="76"/>
      <c r="V30" s="75"/>
    </row>
    <row r="31" spans="1:22" ht="51.75" x14ac:dyDescent="0.25">
      <c r="A31" s="102" t="s">
        <v>59</v>
      </c>
      <c r="B31" s="103"/>
      <c r="C31" s="141"/>
      <c r="D31" s="142"/>
      <c r="E31" s="98"/>
      <c r="F31" s="98"/>
      <c r="G31" s="58" t="s">
        <v>66</v>
      </c>
      <c r="H31" s="108"/>
      <c r="I31" s="108"/>
      <c r="J31" s="66"/>
      <c r="K31" s="108"/>
      <c r="L31" s="132" t="s">
        <v>123</v>
      </c>
      <c r="M31" s="80" t="s">
        <v>19</v>
      </c>
      <c r="N31" s="57" t="s">
        <v>20</v>
      </c>
      <c r="O31" s="81" t="s">
        <v>21</v>
      </c>
      <c r="P31" s="81" t="s">
        <v>115</v>
      </c>
      <c r="Q31" s="81" t="s">
        <v>111</v>
      </c>
      <c r="R31" s="81" t="s">
        <v>121</v>
      </c>
      <c r="S31" s="78" t="s">
        <v>22</v>
      </c>
      <c r="T31" s="62" t="s">
        <v>23</v>
      </c>
      <c r="U31" s="83" t="s">
        <v>24</v>
      </c>
      <c r="V31" s="85" t="s">
        <v>27</v>
      </c>
    </row>
    <row r="32" spans="1:22" ht="39" x14ac:dyDescent="0.25">
      <c r="A32" s="98"/>
      <c r="B32" s="98"/>
      <c r="C32" s="106" t="s">
        <v>60</v>
      </c>
      <c r="D32" s="107"/>
      <c r="E32" s="98"/>
      <c r="F32" s="98"/>
      <c r="G32" s="120">
        <f>ROUND((111606/12),2)</f>
        <v>9300.5</v>
      </c>
      <c r="H32" s="108"/>
      <c r="I32" s="108"/>
      <c r="J32" s="66"/>
      <c r="K32" s="108"/>
      <c r="L32" s="133">
        <v>0.05</v>
      </c>
      <c r="M32" s="109">
        <f>G32*0.05*12</f>
        <v>5580.3</v>
      </c>
      <c r="N32" s="110">
        <f>G32</f>
        <v>9300.5</v>
      </c>
      <c r="O32" s="111">
        <f>SUM(M32*0.0765)</f>
        <v>426.89294999999998</v>
      </c>
      <c r="P32" s="111">
        <f>SUM(M32*0.1128)</f>
        <v>629.45784000000003</v>
      </c>
      <c r="Q32" s="111">
        <f>SUM(M32*0.01)</f>
        <v>55.803000000000004</v>
      </c>
      <c r="R32" s="111">
        <f>SUM(M32*0.0021)</f>
        <v>11.718629999999999</v>
      </c>
      <c r="S32" s="110">
        <f>5839.05*0.05</f>
        <v>291.95250000000004</v>
      </c>
      <c r="T32" s="110">
        <f>37.56*0.05</f>
        <v>1.8780000000000001</v>
      </c>
      <c r="U32" s="112">
        <f t="shared" ref="U32:U38" si="18">SUM(O32:T32)</f>
        <v>1417.7029200000002</v>
      </c>
      <c r="V32" s="129">
        <f t="shared" ref="V32:V38" si="19">SUM(U32+M32)</f>
        <v>6998.0029200000008</v>
      </c>
    </row>
    <row r="33" spans="1:22" ht="39" customHeight="1" x14ac:dyDescent="0.25">
      <c r="A33" s="113"/>
      <c r="B33" s="113"/>
      <c r="C33" s="106" t="s">
        <v>61</v>
      </c>
      <c r="D33" s="107"/>
      <c r="E33" s="98"/>
      <c r="F33" s="98"/>
      <c r="G33" s="120">
        <f>ROUND((69342/12),2)</f>
        <v>5778.5</v>
      </c>
      <c r="H33" s="64"/>
      <c r="I33" s="64"/>
      <c r="J33" s="114"/>
      <c r="K33" s="64"/>
      <c r="L33" s="134">
        <v>0.04</v>
      </c>
      <c r="M33" s="109">
        <f>G33*0.04*12</f>
        <v>2773.6800000000003</v>
      </c>
      <c r="N33" s="110">
        <f t="shared" ref="N33:N38" si="20">G33</f>
        <v>5778.5</v>
      </c>
      <c r="O33" s="111">
        <f t="shared" ref="O33:O38" si="21">SUM(M33*0.0765)</f>
        <v>212.18652000000003</v>
      </c>
      <c r="P33" s="111">
        <f t="shared" ref="P33:P38" si="22">SUM(M33*0.1128)</f>
        <v>312.871104</v>
      </c>
      <c r="Q33" s="111">
        <f t="shared" ref="Q33:Q38" si="23">SUM(M33*0.01)</f>
        <v>27.736800000000002</v>
      </c>
      <c r="R33" s="111">
        <f t="shared" ref="R33:R38" si="24">SUM(M33*0.0021)</f>
        <v>5.8247280000000003</v>
      </c>
      <c r="S33" s="110">
        <f>5839.05*0.04</f>
        <v>233.56200000000001</v>
      </c>
      <c r="T33" s="110">
        <f>37.56*0.04</f>
        <v>1.5024000000000002</v>
      </c>
      <c r="U33" s="112">
        <f t="shared" si="18"/>
        <v>793.68355200000008</v>
      </c>
      <c r="V33" s="129">
        <f t="shared" si="19"/>
        <v>3567.3635520000003</v>
      </c>
    </row>
    <row r="34" spans="1:22" ht="39" customHeight="1" x14ac:dyDescent="0.25">
      <c r="A34" s="115"/>
      <c r="B34" s="115"/>
      <c r="C34" s="106" t="s">
        <v>62</v>
      </c>
      <c r="D34" s="107"/>
      <c r="E34" s="98"/>
      <c r="F34" s="98"/>
      <c r="G34" s="120">
        <f>ROUND((58127/12),2)</f>
        <v>4843.92</v>
      </c>
      <c r="H34" s="113"/>
      <c r="I34" s="113"/>
      <c r="J34" s="64"/>
      <c r="K34" s="64"/>
      <c r="L34" s="134">
        <v>0.5</v>
      </c>
      <c r="M34" s="109">
        <f>G34*0.5*12</f>
        <v>29063.52</v>
      </c>
      <c r="N34" s="110">
        <f t="shared" si="20"/>
        <v>4843.92</v>
      </c>
      <c r="O34" s="111">
        <f t="shared" si="21"/>
        <v>2223.3592800000001</v>
      </c>
      <c r="P34" s="111">
        <f t="shared" si="22"/>
        <v>3278.3650560000001</v>
      </c>
      <c r="Q34" s="111">
        <f t="shared" si="23"/>
        <v>290.6352</v>
      </c>
      <c r="R34" s="111">
        <f t="shared" si="24"/>
        <v>61.033391999999999</v>
      </c>
      <c r="S34" s="110">
        <f>5839.05*0.5</f>
        <v>2919.5250000000001</v>
      </c>
      <c r="T34" s="110">
        <f>37.56*0.5</f>
        <v>18.78</v>
      </c>
      <c r="U34" s="112">
        <f t="shared" si="18"/>
        <v>8791.6979280000014</v>
      </c>
      <c r="V34" s="129">
        <f t="shared" si="19"/>
        <v>37855.217927999998</v>
      </c>
    </row>
    <row r="35" spans="1:22" ht="39" customHeight="1" x14ac:dyDescent="0.25">
      <c r="A35" s="115"/>
      <c r="B35" s="115"/>
      <c r="C35" s="127" t="s">
        <v>107</v>
      </c>
      <c r="D35" s="107"/>
      <c r="E35" s="98"/>
      <c r="F35" s="98"/>
      <c r="G35" s="120">
        <f>ROUND((50824/12),2)</f>
        <v>4235.33</v>
      </c>
      <c r="H35" s="113"/>
      <c r="I35" s="113"/>
      <c r="J35" s="64"/>
      <c r="K35" s="64"/>
      <c r="L35" s="134">
        <v>0.02</v>
      </c>
      <c r="M35" s="109">
        <f>G35*0.02*12</f>
        <v>1016.4792</v>
      </c>
      <c r="N35" s="110">
        <f t="shared" si="20"/>
        <v>4235.33</v>
      </c>
      <c r="O35" s="111">
        <f>SUM(M35*0.0765)</f>
        <v>77.760658800000002</v>
      </c>
      <c r="P35" s="111">
        <f t="shared" si="22"/>
        <v>114.65885376</v>
      </c>
      <c r="Q35" s="111">
        <f t="shared" si="23"/>
        <v>10.164792</v>
      </c>
      <c r="R35" s="111">
        <f t="shared" si="24"/>
        <v>2.1346063200000001</v>
      </c>
      <c r="S35" s="110">
        <f>5839.05*0.02</f>
        <v>116.78100000000001</v>
      </c>
      <c r="T35" s="110">
        <f>37.56*0.02</f>
        <v>0.75120000000000009</v>
      </c>
      <c r="U35" s="112">
        <f t="shared" si="18"/>
        <v>322.25111088</v>
      </c>
      <c r="V35" s="129">
        <f t="shared" si="19"/>
        <v>1338.7303108799999</v>
      </c>
    </row>
    <row r="36" spans="1:22" ht="39" customHeight="1" x14ac:dyDescent="0.25">
      <c r="A36" s="115"/>
      <c r="B36" s="115"/>
      <c r="C36" s="106" t="s">
        <v>63</v>
      </c>
      <c r="D36" s="107"/>
      <c r="E36" s="98"/>
      <c r="F36" s="98"/>
      <c r="G36" s="120">
        <f>ROUND((65507/12),2)</f>
        <v>5458.92</v>
      </c>
      <c r="H36" s="113"/>
      <c r="I36" s="113"/>
      <c r="J36" s="64"/>
      <c r="K36" s="64"/>
      <c r="L36" s="134">
        <v>0.04</v>
      </c>
      <c r="M36" s="109">
        <f>G36*0.04*12</f>
        <v>2620.2816000000003</v>
      </c>
      <c r="N36" s="110">
        <f t="shared" si="20"/>
        <v>5458.92</v>
      </c>
      <c r="O36" s="111">
        <f t="shared" si="21"/>
        <v>200.45154240000002</v>
      </c>
      <c r="P36" s="111">
        <f t="shared" si="22"/>
        <v>295.56776447999999</v>
      </c>
      <c r="Q36" s="111">
        <f t="shared" si="23"/>
        <v>26.202816000000002</v>
      </c>
      <c r="R36" s="111">
        <f t="shared" si="24"/>
        <v>5.5025913600000003</v>
      </c>
      <c r="S36" s="110">
        <f>5839.05*0.04</f>
        <v>233.56200000000001</v>
      </c>
      <c r="T36" s="110">
        <f>37.56*0.04</f>
        <v>1.5024000000000002</v>
      </c>
      <c r="U36" s="112">
        <f t="shared" si="18"/>
        <v>762.78911424</v>
      </c>
      <c r="V36" s="129">
        <f t="shared" si="19"/>
        <v>3383.0707142400001</v>
      </c>
    </row>
    <row r="37" spans="1:22" ht="39" customHeight="1" x14ac:dyDescent="0.25">
      <c r="A37" s="115"/>
      <c r="B37" s="115"/>
      <c r="C37" s="127" t="s">
        <v>122</v>
      </c>
      <c r="D37" s="107"/>
      <c r="E37" s="98"/>
      <c r="F37" s="98"/>
      <c r="G37" s="120">
        <f>ROUND((41280/12),2)</f>
        <v>3440</v>
      </c>
      <c r="H37" s="113"/>
      <c r="I37" s="113"/>
      <c r="J37" s="64"/>
      <c r="K37" s="64"/>
      <c r="L37" s="134">
        <v>0.02</v>
      </c>
      <c r="M37" s="109">
        <f>G37*0.02*12</f>
        <v>825.59999999999991</v>
      </c>
      <c r="N37" s="110">
        <f t="shared" si="20"/>
        <v>3440</v>
      </c>
      <c r="O37" s="111">
        <f t="shared" si="21"/>
        <v>63.158399999999993</v>
      </c>
      <c r="P37" s="111">
        <f t="shared" si="22"/>
        <v>93.127679999999984</v>
      </c>
      <c r="Q37" s="111">
        <f t="shared" si="23"/>
        <v>8.2559999999999985</v>
      </c>
      <c r="R37" s="111">
        <f t="shared" si="24"/>
        <v>1.7337599999999997</v>
      </c>
      <c r="S37" s="110">
        <f>5839.05*0.02</f>
        <v>116.78100000000001</v>
      </c>
      <c r="T37" s="110">
        <f>37.56*0.02</f>
        <v>0.75120000000000009</v>
      </c>
      <c r="U37" s="112">
        <f t="shared" si="18"/>
        <v>283.80803999999995</v>
      </c>
      <c r="V37" s="129">
        <f t="shared" si="19"/>
        <v>1109.4080399999998</v>
      </c>
    </row>
    <row r="38" spans="1:22" ht="39" customHeight="1" x14ac:dyDescent="0.25">
      <c r="A38" s="115"/>
      <c r="B38" s="115"/>
      <c r="C38" s="127" t="s">
        <v>120</v>
      </c>
      <c r="D38" s="107"/>
      <c r="E38" s="98"/>
      <c r="F38" s="98"/>
      <c r="G38" s="120">
        <f>ROUND((60655/12),2)</f>
        <v>5054.58</v>
      </c>
      <c r="H38" s="113"/>
      <c r="I38" s="113"/>
      <c r="J38" s="64"/>
      <c r="K38" s="64"/>
      <c r="L38" s="134">
        <v>0.01</v>
      </c>
      <c r="M38" s="109">
        <f>G38*0.01*12</f>
        <v>606.54960000000005</v>
      </c>
      <c r="N38" s="110">
        <f t="shared" si="20"/>
        <v>5054.58</v>
      </c>
      <c r="O38" s="111">
        <f t="shared" si="21"/>
        <v>46.401044400000004</v>
      </c>
      <c r="P38" s="111">
        <f t="shared" si="22"/>
        <v>68.418794880000007</v>
      </c>
      <c r="Q38" s="111">
        <f t="shared" si="23"/>
        <v>6.0654960000000004</v>
      </c>
      <c r="R38" s="111">
        <f t="shared" si="24"/>
        <v>1.27375416</v>
      </c>
      <c r="S38" s="110">
        <f>5839.05*0.01</f>
        <v>58.390500000000003</v>
      </c>
      <c r="T38" s="110">
        <f>37.56*0.01</f>
        <v>0.37560000000000004</v>
      </c>
      <c r="U38" s="112">
        <f t="shared" si="18"/>
        <v>180.92518944</v>
      </c>
      <c r="V38" s="129">
        <f t="shared" si="19"/>
        <v>787.47478944</v>
      </c>
    </row>
    <row r="39" spans="1:22" ht="16.5" thickBot="1" x14ac:dyDescent="0.3">
      <c r="A39" s="116"/>
      <c r="B39" s="116"/>
      <c r="C39" s="143"/>
      <c r="D39" s="144"/>
      <c r="E39" s="103"/>
      <c r="F39" s="103"/>
      <c r="G39" s="117"/>
      <c r="H39" s="117"/>
      <c r="I39" s="117"/>
      <c r="J39" s="72"/>
      <c r="K39" s="121" t="s">
        <v>64</v>
      </c>
      <c r="L39" s="117"/>
      <c r="M39" s="122">
        <f>SUM(M32:M38)</f>
        <v>42486.410400000001</v>
      </c>
      <c r="N39" s="104"/>
      <c r="O39" s="123">
        <f>SUM(O32:O38)</f>
        <v>3250.2103956000001</v>
      </c>
      <c r="P39" s="123">
        <f t="shared" ref="P39:V39" si="25">SUM(P32:P38)</f>
        <v>4792.4670931199998</v>
      </c>
      <c r="Q39" s="123">
        <f t="shared" si="25"/>
        <v>424.86410399999994</v>
      </c>
      <c r="R39" s="123">
        <f t="shared" si="25"/>
        <v>89.221461840000003</v>
      </c>
      <c r="S39" s="123">
        <f t="shared" si="25"/>
        <v>3970.5539999999996</v>
      </c>
      <c r="T39" s="123">
        <f t="shared" si="25"/>
        <v>25.540800000000004</v>
      </c>
      <c r="U39" s="128">
        <f t="shared" si="25"/>
        <v>12552.857854560003</v>
      </c>
      <c r="V39" s="130">
        <f t="shared" si="25"/>
        <v>55039.268254559996</v>
      </c>
    </row>
    <row r="40" spans="1:22" ht="15.75" thickTop="1" x14ac:dyDescent="0.25">
      <c r="A40" s="116"/>
      <c r="B40" s="116"/>
      <c r="C40" s="118"/>
      <c r="D40" s="117"/>
      <c r="E40" s="117"/>
      <c r="F40" s="117"/>
      <c r="G40" s="117"/>
      <c r="H40" s="117"/>
      <c r="I40" s="117"/>
      <c r="J40" s="72"/>
      <c r="K40" s="72"/>
      <c r="L40" s="117"/>
      <c r="M40" s="104"/>
      <c r="N40" s="104"/>
      <c r="O40" s="105"/>
      <c r="P40" s="105"/>
      <c r="Q40" s="105"/>
      <c r="R40" s="105"/>
      <c r="S40" s="105"/>
      <c r="T40" s="105"/>
      <c r="U40" s="105"/>
      <c r="V40" s="105"/>
    </row>
    <row r="41" spans="1:22" x14ac:dyDescent="0.25">
      <c r="A41" s="116"/>
      <c r="B41" s="116"/>
      <c r="C41" s="118"/>
      <c r="D41" s="117"/>
      <c r="E41" s="117"/>
      <c r="F41" s="117"/>
      <c r="G41" s="117"/>
      <c r="H41" s="117"/>
      <c r="I41" s="117"/>
      <c r="J41" s="72"/>
      <c r="K41" s="72"/>
      <c r="L41" s="117"/>
      <c r="M41" s="103"/>
      <c r="N41" s="103"/>
    </row>
    <row r="42" spans="1:22" ht="16.5" thickBot="1" x14ac:dyDescent="0.3">
      <c r="A42" s="116"/>
      <c r="B42" s="116"/>
      <c r="C42" s="118"/>
      <c r="D42" s="117"/>
      <c r="E42" s="117"/>
      <c r="F42" s="117"/>
      <c r="G42" s="117"/>
      <c r="H42" s="117"/>
      <c r="I42" s="117"/>
      <c r="J42" s="72"/>
      <c r="K42" s="145" t="s">
        <v>65</v>
      </c>
      <c r="L42" s="145"/>
      <c r="M42" s="119">
        <f>SUM(M19+M39)</f>
        <v>447059.37713076931</v>
      </c>
      <c r="N42" s="98"/>
      <c r="O42" s="98"/>
      <c r="P42" s="98"/>
      <c r="Q42" s="98"/>
      <c r="R42" s="98"/>
      <c r="S42" s="98"/>
      <c r="T42" s="98"/>
      <c r="U42" s="119">
        <f>SUM(U19+U39)</f>
        <v>148137.06225432921</v>
      </c>
      <c r="V42" s="131">
        <f>SUM(V19+V39)</f>
        <v>595196.43938509841</v>
      </c>
    </row>
    <row r="43" spans="1:22" ht="15.75" thickTop="1" x14ac:dyDescent="0.25"/>
  </sheetData>
  <mergeCells count="14">
    <mergeCell ref="C31:D31"/>
    <mergeCell ref="C39:D39"/>
    <mergeCell ref="K42:L42"/>
    <mergeCell ref="S7:T7"/>
    <mergeCell ref="O7:R7"/>
    <mergeCell ref="G7:H7"/>
    <mergeCell ref="M17:V17"/>
    <mergeCell ref="O30:R30"/>
    <mergeCell ref="S30:T30"/>
    <mergeCell ref="A1:U1"/>
    <mergeCell ref="A2:U2"/>
    <mergeCell ref="A3:U3"/>
    <mergeCell ref="A4:U4"/>
    <mergeCell ref="A5:U5"/>
  </mergeCells>
  <pageMargins left="0.7" right="0.7" top="0.75" bottom="0.75" header="0.3" footer="0.3"/>
  <pageSetup scale="43" orientation="landscape" r:id="rId1"/>
  <headerFooter>
    <oddFooter>&amp;RPrepared by Mike Escaname
HCHHSD 
05/07/14</oddFooter>
  </headerFooter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026" r:id="rId4">
          <objectPr defaultSize="0" autoPict="0" r:id="rId5">
            <anchor moveWithCells="1">
              <from>
                <xdr:col>3</xdr:col>
                <xdr:colOff>609600</xdr:colOff>
                <xdr:row>24</xdr:row>
                <xdr:rowOff>180975</xdr:rowOff>
              </from>
              <to>
                <xdr:col>5</xdr:col>
                <xdr:colOff>57150</xdr:colOff>
                <xdr:row>26</xdr:row>
                <xdr:rowOff>47625</xdr:rowOff>
              </to>
            </anchor>
          </objectPr>
        </oleObject>
      </mc:Choice>
      <mc:Fallback>
        <oleObject progId="Acrobat Document" dvAspect="DVASPECT_ICON" shapeId="1026" r:id="rId4"/>
      </mc:Fallback>
    </mc:AlternateContent>
    <mc:AlternateContent xmlns:mc="http://schemas.openxmlformats.org/markup-compatibility/2006">
      <mc:Choice Requires="x14">
        <oleObject progId="Acrobat Document" dvAspect="DVASPECT_ICON" shapeId="1027" r:id="rId6">
          <objectPr defaultSize="0" autoPict="0" r:id="rId7">
            <anchor moveWithCells="1">
              <from>
                <xdr:col>3</xdr:col>
                <xdr:colOff>561975</xdr:colOff>
                <xdr:row>28</xdr:row>
                <xdr:rowOff>76200</xdr:rowOff>
              </from>
              <to>
                <xdr:col>5</xdr:col>
                <xdr:colOff>0</xdr:colOff>
                <xdr:row>29</xdr:row>
                <xdr:rowOff>57150</xdr:rowOff>
              </to>
            </anchor>
          </objectPr>
        </oleObject>
      </mc:Choice>
      <mc:Fallback>
        <oleObject progId="Acrobat Document" dvAspect="DVASPECT_ICON" shapeId="1027" r:id="rId6"/>
      </mc:Fallback>
    </mc:AlternateContent>
    <mc:AlternateContent xmlns:mc="http://schemas.openxmlformats.org/markup-compatibility/2006">
      <mc:Choice Requires="x14">
        <oleObject progId="Acrobat Document" dvAspect="DVASPECT_ICON" shapeId="1028" r:id="rId8">
          <objectPr defaultSize="0" autoPict="0" r:id="rId9">
            <anchor moveWithCells="1">
              <from>
                <xdr:col>3</xdr:col>
                <xdr:colOff>590550</xdr:colOff>
                <xdr:row>26</xdr:row>
                <xdr:rowOff>180975</xdr:rowOff>
              </from>
              <to>
                <xdr:col>5</xdr:col>
                <xdr:colOff>19050</xdr:colOff>
                <xdr:row>27</xdr:row>
                <xdr:rowOff>219075</xdr:rowOff>
              </to>
            </anchor>
          </objectPr>
        </oleObject>
      </mc:Choice>
      <mc:Fallback>
        <oleObject progId="Acrobat Document" dvAspect="DVASPECT_ICON" shapeId="1028" r:id="rId8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opLeftCell="A7" workbookViewId="0">
      <selection activeCell="K29" sqref="K29"/>
    </sheetView>
  </sheetViews>
  <sheetFormatPr defaultRowHeight="15" x14ac:dyDescent="0.25"/>
  <cols>
    <col min="2" max="2" width="22" customWidth="1"/>
    <col min="3" max="3" width="11.42578125" customWidth="1"/>
    <col min="5" max="5" width="1.7109375" customWidth="1"/>
    <col min="6" max="6" width="8.7109375" customWidth="1"/>
    <col min="7" max="7" width="22" customWidth="1"/>
    <col min="8" max="8" width="10.140625" customWidth="1"/>
  </cols>
  <sheetData>
    <row r="1" spans="1:9" x14ac:dyDescent="0.25">
      <c r="A1" s="8" t="s">
        <v>0</v>
      </c>
      <c r="B1" s="1"/>
      <c r="C1" s="1"/>
      <c r="D1" s="1"/>
      <c r="E1" s="9"/>
      <c r="F1" s="8" t="s">
        <v>76</v>
      </c>
      <c r="G1" s="1"/>
      <c r="H1" s="1"/>
      <c r="I1" s="1"/>
    </row>
    <row r="2" spans="1:9" x14ac:dyDescent="0.25">
      <c r="A2" s="10" t="s">
        <v>73</v>
      </c>
      <c r="B2" s="1"/>
      <c r="C2" s="1"/>
      <c r="D2" s="1"/>
      <c r="E2" s="9"/>
      <c r="F2" s="1"/>
      <c r="G2" s="1"/>
      <c r="H2" s="1"/>
      <c r="I2" s="1"/>
    </row>
    <row r="3" spans="1:9" x14ac:dyDescent="0.25">
      <c r="A3" s="1"/>
      <c r="B3" s="1"/>
      <c r="C3" s="1"/>
      <c r="D3" s="1"/>
      <c r="E3" s="9"/>
      <c r="F3" s="1"/>
      <c r="G3" s="1"/>
      <c r="H3" s="1"/>
      <c r="I3" s="1"/>
    </row>
    <row r="4" spans="1:9" ht="39" x14ac:dyDescent="0.25">
      <c r="A4" s="11" t="s">
        <v>1</v>
      </c>
      <c r="B4" s="2" t="s">
        <v>2</v>
      </c>
      <c r="C4" s="3" t="s">
        <v>3</v>
      </c>
      <c r="D4" s="2" t="s">
        <v>4</v>
      </c>
      <c r="E4" s="12"/>
      <c r="F4" s="11" t="s">
        <v>1</v>
      </c>
      <c r="G4" s="2" t="s">
        <v>2</v>
      </c>
      <c r="H4" s="3" t="s">
        <v>3</v>
      </c>
      <c r="I4" s="2" t="s">
        <v>4</v>
      </c>
    </row>
    <row r="5" spans="1:9" x14ac:dyDescent="0.25">
      <c r="A5" s="13"/>
      <c r="B5" s="14"/>
      <c r="C5" s="15"/>
      <c r="D5" s="16"/>
      <c r="E5" s="9"/>
      <c r="F5" s="17">
        <v>1</v>
      </c>
      <c r="G5" s="18" t="s">
        <v>84</v>
      </c>
      <c r="H5" s="19">
        <v>42013</v>
      </c>
      <c r="I5" s="17">
        <v>10</v>
      </c>
    </row>
    <row r="6" spans="1:9" x14ac:dyDescent="0.25">
      <c r="A6" s="20"/>
      <c r="B6" s="21"/>
      <c r="C6" s="22"/>
      <c r="D6" s="23"/>
      <c r="E6" s="9"/>
      <c r="F6" s="24">
        <v>2</v>
      </c>
      <c r="G6" s="25" t="s">
        <v>85</v>
      </c>
      <c r="H6" s="26">
        <v>42027</v>
      </c>
      <c r="I6" s="24">
        <v>10</v>
      </c>
    </row>
    <row r="7" spans="1:9" x14ac:dyDescent="0.25">
      <c r="A7" s="20"/>
      <c r="B7" s="21"/>
      <c r="C7" s="22"/>
      <c r="D7" s="23"/>
      <c r="E7" s="9"/>
      <c r="F7" s="24">
        <v>3</v>
      </c>
      <c r="G7" s="25" t="s">
        <v>86</v>
      </c>
      <c r="H7" s="26">
        <v>42041</v>
      </c>
      <c r="I7" s="24">
        <v>10</v>
      </c>
    </row>
    <row r="8" spans="1:9" x14ac:dyDescent="0.25">
      <c r="A8" s="20"/>
      <c r="B8" s="21"/>
      <c r="C8" s="22"/>
      <c r="D8" s="23"/>
      <c r="E8" s="9"/>
      <c r="F8" s="24">
        <v>4</v>
      </c>
      <c r="G8" s="25" t="s">
        <v>87</v>
      </c>
      <c r="H8" s="26">
        <v>42055</v>
      </c>
      <c r="I8" s="24">
        <v>10</v>
      </c>
    </row>
    <row r="9" spans="1:9" x14ac:dyDescent="0.25">
      <c r="A9" s="20"/>
      <c r="B9" s="21"/>
      <c r="C9" s="22"/>
      <c r="D9" s="23"/>
      <c r="E9" s="9"/>
      <c r="F9" s="24">
        <v>5</v>
      </c>
      <c r="G9" s="25" t="s">
        <v>88</v>
      </c>
      <c r="H9" s="26">
        <v>42069</v>
      </c>
      <c r="I9" s="24">
        <v>10</v>
      </c>
    </row>
    <row r="10" spans="1:9" x14ac:dyDescent="0.25">
      <c r="A10" s="20"/>
      <c r="B10" s="21"/>
      <c r="C10" s="22"/>
      <c r="D10" s="23"/>
      <c r="E10" s="9"/>
      <c r="F10" s="24">
        <v>6</v>
      </c>
      <c r="G10" s="25" t="s">
        <v>89</v>
      </c>
      <c r="H10" s="26">
        <v>42083</v>
      </c>
      <c r="I10" s="24">
        <v>10</v>
      </c>
    </row>
    <row r="11" spans="1:9" x14ac:dyDescent="0.25">
      <c r="A11" s="20"/>
      <c r="B11" s="21"/>
      <c r="C11" s="22"/>
      <c r="D11" s="23"/>
      <c r="E11" s="9"/>
      <c r="F11" s="24">
        <v>7</v>
      </c>
      <c r="G11" s="25" t="s">
        <v>90</v>
      </c>
      <c r="H11" s="26">
        <v>42097</v>
      </c>
      <c r="I11" s="24">
        <v>10</v>
      </c>
    </row>
    <row r="12" spans="1:9" x14ac:dyDescent="0.25">
      <c r="A12" s="20"/>
      <c r="B12" s="21"/>
      <c r="C12" s="22"/>
      <c r="D12" s="23"/>
      <c r="E12" s="9"/>
      <c r="F12" s="24">
        <v>8</v>
      </c>
      <c r="G12" s="25" t="s">
        <v>91</v>
      </c>
      <c r="H12" s="26">
        <v>42111</v>
      </c>
      <c r="I12" s="24">
        <v>10</v>
      </c>
    </row>
    <row r="13" spans="1:9" x14ac:dyDescent="0.25">
      <c r="A13" s="20"/>
      <c r="B13" s="21"/>
      <c r="C13" s="22"/>
      <c r="D13" s="23"/>
      <c r="E13" s="9"/>
      <c r="F13" s="24">
        <v>9</v>
      </c>
      <c r="G13" s="25" t="s">
        <v>92</v>
      </c>
      <c r="H13" s="26">
        <v>42125</v>
      </c>
      <c r="I13" s="24">
        <v>10</v>
      </c>
    </row>
    <row r="14" spans="1:9" x14ac:dyDescent="0.25">
      <c r="A14" s="20"/>
      <c r="B14" s="21"/>
      <c r="C14" s="22"/>
      <c r="D14" s="23"/>
      <c r="E14" s="9"/>
      <c r="F14" s="24">
        <v>10</v>
      </c>
      <c r="G14" s="25" t="s">
        <v>93</v>
      </c>
      <c r="H14" s="26">
        <v>42139</v>
      </c>
      <c r="I14" s="24">
        <v>10</v>
      </c>
    </row>
    <row r="15" spans="1:9" x14ac:dyDescent="0.25">
      <c r="A15" s="20"/>
      <c r="B15" s="21"/>
      <c r="C15" s="22"/>
      <c r="D15" s="23"/>
      <c r="E15" s="9"/>
      <c r="F15" s="24">
        <v>11</v>
      </c>
      <c r="G15" s="25" t="s">
        <v>94</v>
      </c>
      <c r="H15" s="26">
        <v>42153</v>
      </c>
      <c r="I15" s="24">
        <v>10</v>
      </c>
    </row>
    <row r="16" spans="1:9" x14ac:dyDescent="0.25">
      <c r="A16" s="20"/>
      <c r="B16" s="21"/>
      <c r="C16" s="22"/>
      <c r="D16" s="23"/>
      <c r="E16" s="9"/>
      <c r="F16" s="24">
        <v>12</v>
      </c>
      <c r="G16" s="25" t="s">
        <v>95</v>
      </c>
      <c r="H16" s="26">
        <v>42167</v>
      </c>
      <c r="I16" s="24">
        <v>10</v>
      </c>
    </row>
    <row r="17" spans="1:10" x14ac:dyDescent="0.25">
      <c r="A17" s="20"/>
      <c r="B17" s="21"/>
      <c r="C17" s="22"/>
      <c r="D17" s="23"/>
      <c r="E17" s="9"/>
      <c r="F17" s="24">
        <v>13</v>
      </c>
      <c r="G17" s="25" t="s">
        <v>96</v>
      </c>
      <c r="H17" s="26">
        <v>42181</v>
      </c>
      <c r="I17" s="24">
        <v>10</v>
      </c>
      <c r="J17" s="1"/>
    </row>
    <row r="18" spans="1:10" x14ac:dyDescent="0.25">
      <c r="A18" s="20"/>
      <c r="B18" s="21"/>
      <c r="C18" s="22"/>
      <c r="D18" s="23"/>
      <c r="E18" s="9"/>
      <c r="F18" s="24">
        <v>14</v>
      </c>
      <c r="G18" s="25" t="s">
        <v>97</v>
      </c>
      <c r="H18" s="26">
        <v>42195</v>
      </c>
      <c r="I18" s="24">
        <v>10</v>
      </c>
      <c r="J18" s="1"/>
    </row>
    <row r="19" spans="1:10" x14ac:dyDescent="0.25">
      <c r="A19" s="20"/>
      <c r="B19" s="21"/>
      <c r="C19" s="22"/>
      <c r="D19" s="23"/>
      <c r="E19" s="9"/>
      <c r="F19" s="24">
        <v>15</v>
      </c>
      <c r="G19" s="25" t="s">
        <v>98</v>
      </c>
      <c r="H19" s="26">
        <v>42209</v>
      </c>
      <c r="I19" s="24">
        <v>10</v>
      </c>
      <c r="J19" s="1"/>
    </row>
    <row r="20" spans="1:10" x14ac:dyDescent="0.25">
      <c r="A20" s="20"/>
      <c r="B20" s="21"/>
      <c r="C20" s="22"/>
      <c r="D20" s="23"/>
      <c r="E20" s="9"/>
      <c r="F20" s="24">
        <v>16</v>
      </c>
      <c r="G20" s="25" t="s">
        <v>99</v>
      </c>
      <c r="H20" s="26">
        <v>42223</v>
      </c>
      <c r="I20" s="24">
        <v>10</v>
      </c>
      <c r="J20" s="1"/>
    </row>
    <row r="21" spans="1:10" x14ac:dyDescent="0.25">
      <c r="A21" s="27"/>
      <c r="B21" s="28"/>
      <c r="C21" s="29"/>
      <c r="D21" s="30"/>
      <c r="E21" s="9"/>
      <c r="F21" s="24">
        <v>17</v>
      </c>
      <c r="G21" s="25" t="s">
        <v>100</v>
      </c>
      <c r="H21" s="26">
        <v>42237</v>
      </c>
      <c r="I21" s="24">
        <v>10</v>
      </c>
      <c r="J21" s="1"/>
    </row>
    <row r="22" spans="1:10" x14ac:dyDescent="0.25">
      <c r="A22" s="27"/>
      <c r="B22" s="28"/>
      <c r="C22" s="29"/>
      <c r="D22" s="30"/>
      <c r="E22" s="9"/>
      <c r="F22" s="24">
        <v>18</v>
      </c>
      <c r="G22" s="25" t="s">
        <v>101</v>
      </c>
      <c r="H22" s="26">
        <v>42251</v>
      </c>
      <c r="I22" s="24">
        <v>10</v>
      </c>
      <c r="J22" s="1"/>
    </row>
    <row r="23" spans="1:10" x14ac:dyDescent="0.25">
      <c r="A23" s="27">
        <v>19</v>
      </c>
      <c r="B23" s="31" t="s">
        <v>74</v>
      </c>
      <c r="C23" s="29">
        <v>41901</v>
      </c>
      <c r="D23" s="30">
        <v>5</v>
      </c>
      <c r="E23" s="9"/>
      <c r="F23" s="24">
        <v>19</v>
      </c>
      <c r="G23" s="25" t="s">
        <v>102</v>
      </c>
      <c r="H23" s="26">
        <v>42265</v>
      </c>
      <c r="I23" s="32">
        <v>6</v>
      </c>
      <c r="J23" s="33" t="s">
        <v>113</v>
      </c>
    </row>
    <row r="24" spans="1:10" x14ac:dyDescent="0.25">
      <c r="A24" s="34">
        <v>19</v>
      </c>
      <c r="B24" s="25" t="s">
        <v>75</v>
      </c>
      <c r="C24" s="35">
        <v>41901</v>
      </c>
      <c r="D24" s="36">
        <v>5</v>
      </c>
      <c r="E24" s="9"/>
      <c r="F24" s="28"/>
      <c r="G24" s="28"/>
      <c r="H24" s="21"/>
      <c r="I24" s="21"/>
      <c r="J24" s="1"/>
    </row>
    <row r="25" spans="1:10" x14ac:dyDescent="0.25">
      <c r="A25" s="34">
        <v>20</v>
      </c>
      <c r="B25" s="25" t="s">
        <v>77</v>
      </c>
      <c r="C25" s="35">
        <v>41915</v>
      </c>
      <c r="D25" s="36">
        <v>10</v>
      </c>
      <c r="E25" s="9"/>
      <c r="F25" s="21"/>
      <c r="G25" s="21"/>
      <c r="H25" s="21"/>
      <c r="I25" s="21"/>
      <c r="J25" s="1"/>
    </row>
    <row r="26" spans="1:10" x14ac:dyDescent="0.25">
      <c r="A26" s="34">
        <v>21</v>
      </c>
      <c r="B26" s="25" t="s">
        <v>78</v>
      </c>
      <c r="C26" s="35">
        <v>41929</v>
      </c>
      <c r="D26" s="36">
        <v>10</v>
      </c>
      <c r="E26" s="9"/>
      <c r="F26" s="21"/>
      <c r="G26" s="21"/>
      <c r="H26" s="21"/>
      <c r="I26" s="21"/>
      <c r="J26" s="1"/>
    </row>
    <row r="27" spans="1:10" x14ac:dyDescent="0.25">
      <c r="A27" s="34">
        <v>22</v>
      </c>
      <c r="B27" s="25" t="s">
        <v>79</v>
      </c>
      <c r="C27" s="35">
        <v>41943</v>
      </c>
      <c r="D27" s="36">
        <v>10</v>
      </c>
      <c r="E27" s="9"/>
      <c r="F27" s="21"/>
      <c r="G27" s="21"/>
      <c r="H27" s="21"/>
      <c r="I27" s="21"/>
      <c r="J27" s="1"/>
    </row>
    <row r="28" spans="1:10" x14ac:dyDescent="0.25">
      <c r="A28" s="34">
        <v>23</v>
      </c>
      <c r="B28" s="25" t="s">
        <v>80</v>
      </c>
      <c r="C28" s="35">
        <v>41957</v>
      </c>
      <c r="D28" s="36">
        <v>10</v>
      </c>
      <c r="E28" s="9"/>
      <c r="F28" s="21"/>
      <c r="G28" s="21"/>
      <c r="H28" s="21"/>
      <c r="I28" s="21"/>
      <c r="J28" s="1"/>
    </row>
    <row r="29" spans="1:10" x14ac:dyDescent="0.25">
      <c r="A29" s="34">
        <v>24</v>
      </c>
      <c r="B29" s="37" t="s">
        <v>81</v>
      </c>
      <c r="C29" s="35">
        <v>41969</v>
      </c>
      <c r="D29" s="36">
        <v>10</v>
      </c>
      <c r="E29" s="9"/>
      <c r="F29" s="21"/>
      <c r="G29" s="21"/>
      <c r="H29" s="21"/>
      <c r="I29" s="21"/>
      <c r="J29" s="1"/>
    </row>
    <row r="30" spans="1:10" x14ac:dyDescent="0.25">
      <c r="A30" s="34">
        <v>25</v>
      </c>
      <c r="B30" s="25" t="s">
        <v>82</v>
      </c>
      <c r="C30" s="35">
        <v>41985</v>
      </c>
      <c r="D30" s="36">
        <v>10</v>
      </c>
      <c r="E30" s="9"/>
      <c r="F30" s="21"/>
      <c r="G30" s="21"/>
      <c r="H30" s="21"/>
      <c r="I30" s="21"/>
      <c r="J30" s="1"/>
    </row>
    <row r="31" spans="1:10" x14ac:dyDescent="0.25">
      <c r="A31" s="38">
        <v>26</v>
      </c>
      <c r="B31" s="39" t="s">
        <v>83</v>
      </c>
      <c r="C31" s="40">
        <v>41997</v>
      </c>
      <c r="D31" s="41">
        <v>10</v>
      </c>
      <c r="E31" s="9"/>
      <c r="F31" s="4"/>
      <c r="G31" s="4"/>
      <c r="H31" s="4"/>
      <c r="I31" s="4"/>
      <c r="J31" s="1"/>
    </row>
    <row r="33" spans="1:8" x14ac:dyDescent="0.25">
      <c r="A33" s="42"/>
      <c r="B33" s="42"/>
      <c r="C33" s="42"/>
      <c r="D33" s="42"/>
      <c r="E33" s="1"/>
      <c r="F33" s="1"/>
      <c r="G33" s="1"/>
      <c r="H33" s="1"/>
    </row>
    <row r="34" spans="1:8" x14ac:dyDescent="0.25">
      <c r="A34" s="42"/>
      <c r="B34" s="42"/>
      <c r="C34" s="42"/>
      <c r="D34" s="42"/>
      <c r="E34" s="1"/>
      <c r="F34" s="5"/>
      <c r="G34" s="5"/>
      <c r="H34" s="1"/>
    </row>
    <row r="35" spans="1:8" x14ac:dyDescent="0.25">
      <c r="A35" s="1"/>
      <c r="B35" s="6" t="s">
        <v>103</v>
      </c>
      <c r="C35" s="1"/>
      <c r="D35" s="43">
        <f>75+13</f>
        <v>88</v>
      </c>
      <c r="E35" s="1"/>
      <c r="F35" s="5"/>
      <c r="G35" s="5"/>
      <c r="H35" s="1"/>
    </row>
    <row r="36" spans="1:8" x14ac:dyDescent="0.25">
      <c r="A36" s="1"/>
      <c r="B36" s="6" t="s">
        <v>104</v>
      </c>
      <c r="C36" s="1"/>
      <c r="D36" s="7">
        <f>7+166</f>
        <v>173</v>
      </c>
      <c r="E36" s="1"/>
      <c r="F36" s="5"/>
      <c r="G36" s="5"/>
      <c r="H36" s="1"/>
    </row>
    <row r="37" spans="1:8" x14ac:dyDescent="0.25">
      <c r="A37" s="1"/>
      <c r="B37" s="1"/>
      <c r="C37" s="1"/>
      <c r="D37" s="44">
        <f>SUM(D35:D36)</f>
        <v>261</v>
      </c>
      <c r="E37" s="1"/>
      <c r="F37" s="5"/>
      <c r="G37" s="5"/>
      <c r="H37" s="1"/>
    </row>
    <row r="38" spans="1:8" x14ac:dyDescent="0.25">
      <c r="A38" s="1"/>
      <c r="B38" s="1"/>
      <c r="C38" s="6" t="s">
        <v>5</v>
      </c>
      <c r="D38" s="7">
        <v>8</v>
      </c>
      <c r="E38" s="1"/>
      <c r="F38" s="45"/>
      <c r="G38" s="5"/>
      <c r="H38" s="1"/>
    </row>
    <row r="39" spans="1:8" ht="15.75" thickBot="1" x14ac:dyDescent="0.3">
      <c r="A39" s="1"/>
      <c r="B39" s="46" t="s">
        <v>6</v>
      </c>
      <c r="C39" s="46"/>
      <c r="D39" s="47">
        <f>D37*D38</f>
        <v>2088</v>
      </c>
      <c r="E39" s="1"/>
      <c r="F39" s="5"/>
      <c r="G39" s="5"/>
      <c r="H39" s="1"/>
    </row>
    <row r="40" spans="1:8" ht="15.75" thickTop="1" x14ac:dyDescent="0.25">
      <c r="A40" s="1"/>
      <c r="B40" s="1"/>
      <c r="C40" s="1"/>
      <c r="D40" s="1"/>
      <c r="E40" s="1"/>
      <c r="F40" s="48"/>
      <c r="G40" s="49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7" t="s">
        <v>7</v>
      </c>
    </row>
    <row r="42" spans="1:8" x14ac:dyDescent="0.25">
      <c r="A42" s="1"/>
      <c r="B42" s="1" t="s">
        <v>8</v>
      </c>
      <c r="C42" s="1"/>
      <c r="D42" s="1"/>
      <c r="E42" s="1"/>
      <c r="F42" s="44">
        <f>SUM(D35)</f>
        <v>88</v>
      </c>
      <c r="G42" s="1" t="s">
        <v>105</v>
      </c>
      <c r="H42" s="1">
        <f>F42*8</f>
        <v>704</v>
      </c>
    </row>
    <row r="43" spans="1:8" x14ac:dyDescent="0.25">
      <c r="A43" s="1"/>
      <c r="B43" s="1" t="s">
        <v>112</v>
      </c>
      <c r="C43" s="1"/>
      <c r="D43" s="1"/>
      <c r="E43" s="1"/>
      <c r="F43" s="7">
        <f>SUM(D36)</f>
        <v>173</v>
      </c>
      <c r="G43" s="1" t="s">
        <v>105</v>
      </c>
      <c r="H43" s="7">
        <f>F43*8</f>
        <v>1384</v>
      </c>
    </row>
    <row r="44" spans="1:8" x14ac:dyDescent="0.25">
      <c r="A44" s="1"/>
      <c r="B44" s="1"/>
      <c r="C44" s="1"/>
      <c r="D44" s="1"/>
      <c r="E44" s="1"/>
      <c r="F44" s="44">
        <f>SUM(F42:F43)</f>
        <v>261</v>
      </c>
      <c r="G44" s="1"/>
      <c r="H44" s="50">
        <f>SUM(H42:H43)</f>
        <v>2088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Salary Schedule Budget</vt:lpstr>
      <vt:lpstr>FY 15 Work Hours</vt:lpstr>
      <vt:lpstr>Sheet3</vt:lpstr>
    </vt:vector>
  </TitlesOfParts>
  <Company>Hidalgo County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Escaname</dc:creator>
  <cp:lastModifiedBy>Miguel Escaname</cp:lastModifiedBy>
  <cp:lastPrinted>2014-05-10T16:22:05Z</cp:lastPrinted>
  <dcterms:created xsi:type="dcterms:W3CDTF">2013-04-08T14:49:03Z</dcterms:created>
  <dcterms:modified xsi:type="dcterms:W3CDTF">2014-08-05T20:33:45Z</dcterms:modified>
</cp:coreProperties>
</file>